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60" yWindow="1110" windowWidth="24600" windowHeight="7905" tabRatio="866" firstSheet="19" activeTab="19"/>
  </bookViews>
  <sheets>
    <sheet name="факт 2014" sheetId="1" state="hidden" r:id="rId1"/>
    <sheet name="Лист2" sheetId="2" state="hidden" r:id="rId2"/>
    <sheet name="прогноз 2015" sheetId="3" state="hidden" r:id="rId3"/>
    <sheet name="факт2015" sheetId="4" state="hidden" r:id="rId4"/>
    <sheet name="разница 2015" sheetId="20" state="hidden" r:id="rId5"/>
    <sheet name="прогноз 2016 по факту" sheetId="5" state="hidden" r:id="rId6"/>
    <sheet name="прогноз 2016 МЭ" sheetId="6" state="hidden" r:id="rId7"/>
    <sheet name="индекс" sheetId="22" state="hidden" r:id="rId8"/>
    <sheet name="прогноз2017" sheetId="21" state="hidden" r:id="rId9"/>
    <sheet name="прогн 2016 пэо" sheetId="8" state="hidden" r:id="rId10"/>
    <sheet name="ком" sheetId="7" state="hidden" r:id="rId11"/>
    <sheet name="покупка опт 2016" sheetId="15" state="hidden" r:id="rId12"/>
    <sheet name="сн" sheetId="11" state="hidden" r:id="rId13"/>
    <sheet name="передача" sheetId="9" state="hidden" r:id="rId14"/>
    <sheet name="инфраструктура" sheetId="10" state="hidden" r:id="rId15"/>
    <sheet name="мощность" sheetId="12" state="hidden" r:id="rId16"/>
    <sheet name="баланс" sheetId="13" state="hidden" r:id="rId17"/>
    <sheet name="пок-прод м" sheetId="17" state="hidden" r:id="rId18"/>
    <sheet name="Лист1" sheetId="18" state="hidden" r:id="rId19"/>
    <sheet name="прогноз 18" sheetId="29" r:id="rId20"/>
  </sheets>
  <externalReferences>
    <externalReference r:id="rId21"/>
    <externalReference r:id="rId22"/>
  </externalReferences>
  <calcPr calcId="152511"/>
</workbook>
</file>

<file path=xl/calcChain.xml><?xml version="1.0" encoding="utf-8"?>
<calcChain xmlns="http://schemas.openxmlformats.org/spreadsheetml/2006/main">
  <c r="Z42" i="21" l="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W34" i="21"/>
  <c r="X34" i="21"/>
  <c r="Y34" i="21"/>
  <c r="Z34" i="21"/>
  <c r="W35" i="21"/>
  <c r="X35" i="21"/>
  <c r="Y35" i="21"/>
  <c r="Z35" i="21"/>
  <c r="W36" i="21"/>
  <c r="X36" i="21"/>
  <c r="Y36" i="21"/>
  <c r="Z36" i="21"/>
  <c r="X33" i="21"/>
  <c r="Y33" i="21"/>
  <c r="Z33" i="21"/>
  <c r="W33" i="21"/>
  <c r="V33" i="21"/>
  <c r="Z22" i="21"/>
  <c r="Y22" i="21"/>
  <c r="X22" i="21"/>
  <c r="W22" i="21"/>
  <c r="Z21" i="21"/>
  <c r="Y21" i="21"/>
  <c r="X21" i="21"/>
  <c r="W21" i="21"/>
  <c r="Z20" i="21"/>
  <c r="Y20" i="21"/>
  <c r="X20" i="21"/>
  <c r="W20" i="21"/>
  <c r="Z19" i="21"/>
  <c r="Y19" i="21"/>
  <c r="X19" i="21"/>
  <c r="W19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C34" i="21"/>
  <c r="C35" i="21"/>
  <c r="C36" i="21"/>
  <c r="C33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K19" i="21"/>
  <c r="O19" i="21"/>
  <c r="J20" i="21"/>
  <c r="N20" i="21"/>
  <c r="O20" i="21"/>
  <c r="S20" i="21"/>
  <c r="G21" i="21"/>
  <c r="K21" i="21"/>
  <c r="O21" i="21"/>
  <c r="S21" i="21"/>
  <c r="C21" i="21"/>
  <c r="C22" i="21"/>
  <c r="C20" i="21"/>
  <c r="D20" i="21"/>
  <c r="E20" i="21"/>
  <c r="F20" i="21"/>
  <c r="G20" i="21"/>
  <c r="H20" i="21"/>
  <c r="I20" i="21"/>
  <c r="K20" i="21"/>
  <c r="L20" i="21"/>
  <c r="M20" i="21"/>
  <c r="P20" i="21"/>
  <c r="Q20" i="21"/>
  <c r="R20" i="21"/>
  <c r="T20" i="21"/>
  <c r="U20" i="21"/>
  <c r="V20" i="21"/>
  <c r="D21" i="21"/>
  <c r="E21" i="21"/>
  <c r="F21" i="21"/>
  <c r="H21" i="21"/>
  <c r="I21" i="21"/>
  <c r="J21" i="21"/>
  <c r="L21" i="21"/>
  <c r="M21" i="21"/>
  <c r="N21" i="21"/>
  <c r="P21" i="21"/>
  <c r="Q21" i="21"/>
  <c r="R21" i="21"/>
  <c r="T21" i="21"/>
  <c r="U21" i="21"/>
  <c r="V21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D19" i="21"/>
  <c r="E19" i="21"/>
  <c r="F19" i="21"/>
  <c r="G19" i="21"/>
  <c r="H19" i="21"/>
  <c r="I19" i="21"/>
  <c r="J19" i="21"/>
  <c r="L19" i="21"/>
  <c r="M19" i="21"/>
  <c r="N19" i="21"/>
  <c r="P19" i="21"/>
  <c r="Q19" i="21"/>
  <c r="R19" i="21"/>
  <c r="S19" i="21"/>
  <c r="T19" i="21"/>
  <c r="U19" i="21"/>
  <c r="V19" i="21"/>
  <c r="C19" i="21"/>
  <c r="Q14" i="21" l="1"/>
  <c r="Y13" i="21"/>
  <c r="I13" i="21"/>
  <c r="Q12" i="21"/>
  <c r="Y11" i="21"/>
  <c r="J11" i="21"/>
  <c r="I11" i="21"/>
  <c r="W5" i="21"/>
  <c r="Y14" i="21"/>
  <c r="V14" i="21"/>
  <c r="U14" i="21"/>
  <c r="R14" i="21"/>
  <c r="M14" i="21"/>
  <c r="K14" i="21"/>
  <c r="I14" i="21"/>
  <c r="F14" i="21"/>
  <c r="E14" i="21"/>
  <c r="Z13" i="21"/>
  <c r="U13" i="21"/>
  <c r="S13" i="21"/>
  <c r="Q13" i="21"/>
  <c r="N13" i="21"/>
  <c r="M13" i="21"/>
  <c r="J13" i="21"/>
  <c r="E13" i="21"/>
  <c r="C13" i="21"/>
  <c r="Y12" i="21"/>
  <c r="V12" i="21"/>
  <c r="U12" i="21"/>
  <c r="R12" i="21"/>
  <c r="M12" i="21"/>
  <c r="K12" i="21"/>
  <c r="I12" i="21"/>
  <c r="F12" i="21"/>
  <c r="E12" i="21"/>
  <c r="Z11" i="21"/>
  <c r="U11" i="21"/>
  <c r="S11" i="21"/>
  <c r="Q11" i="21"/>
  <c r="M11" i="21"/>
  <c r="E11" i="21"/>
  <c r="C11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X5" i="21"/>
  <c r="Y5" i="21"/>
  <c r="Z5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Y6" i="21"/>
  <c r="Z6" i="21"/>
  <c r="D7" i="21"/>
  <c r="D43" i="21" s="1"/>
  <c r="E7" i="21"/>
  <c r="E43" i="21" s="1"/>
  <c r="F7" i="21"/>
  <c r="G7" i="21"/>
  <c r="H7" i="21"/>
  <c r="H43" i="21" s="1"/>
  <c r="I7" i="21"/>
  <c r="I43" i="21" s="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D8" i="21"/>
  <c r="E8" i="21"/>
  <c r="F8" i="21"/>
  <c r="G8" i="21"/>
  <c r="G44" i="21" s="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X8" i="21"/>
  <c r="Y8" i="21"/>
  <c r="C6" i="21"/>
  <c r="C7" i="21"/>
  <c r="C8" i="21"/>
  <c r="C5" i="21"/>
  <c r="H32" i="15"/>
  <c r="F43" i="21"/>
  <c r="J44" i="21"/>
  <c r="H44" i="21"/>
  <c r="F44" i="21"/>
  <c r="G43" i="21"/>
  <c r="N11" i="21" l="1"/>
  <c r="O11" i="21"/>
  <c r="G12" i="21"/>
  <c r="W12" i="21"/>
  <c r="O13" i="21"/>
  <c r="G14" i="21"/>
  <c r="W14" i="21"/>
  <c r="F11" i="21"/>
  <c r="R11" i="21"/>
  <c r="V11" i="21"/>
  <c r="J12" i="21"/>
  <c r="N12" i="21"/>
  <c r="F13" i="21"/>
  <c r="R13" i="21"/>
  <c r="V13" i="21"/>
  <c r="J14" i="21"/>
  <c r="N14" i="21"/>
  <c r="C44" i="21"/>
  <c r="C43" i="21"/>
  <c r="I44" i="21"/>
  <c r="E44" i="21"/>
  <c r="J43" i="21"/>
  <c r="D44" i="21"/>
  <c r="W8" i="21"/>
  <c r="Z7" i="21"/>
  <c r="W6" i="21"/>
  <c r="K11" i="21"/>
  <c r="C12" i="21"/>
  <c r="S12" i="21"/>
  <c r="K13" i="21"/>
  <c r="C14" i="21"/>
  <c r="S14" i="21"/>
  <c r="Y7" i="21"/>
  <c r="D11" i="21"/>
  <c r="H11" i="21"/>
  <c r="L11" i="21"/>
  <c r="P11" i="21"/>
  <c r="T11" i="21"/>
  <c r="X11" i="21"/>
  <c r="D12" i="21"/>
  <c r="H12" i="21"/>
  <c r="L12" i="21"/>
  <c r="P12" i="21"/>
  <c r="T12" i="21"/>
  <c r="X12" i="21"/>
  <c r="D13" i="21"/>
  <c r="H13" i="21"/>
  <c r="L13" i="21"/>
  <c r="P13" i="21"/>
  <c r="T13" i="21"/>
  <c r="X13" i="21"/>
  <c r="D14" i="21"/>
  <c r="H14" i="21"/>
  <c r="L14" i="21"/>
  <c r="P14" i="21"/>
  <c r="T14" i="21"/>
  <c r="X14" i="21"/>
  <c r="Z8" i="21"/>
  <c r="G11" i="21"/>
  <c r="W11" i="21"/>
  <c r="O12" i="21"/>
  <c r="Z12" i="21"/>
  <c r="G13" i="21"/>
  <c r="W13" i="21"/>
  <c r="O14" i="21"/>
  <c r="Z14" i="21"/>
  <c r="X6" i="21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F28" i="6" l="1"/>
  <c r="C26" i="6"/>
  <c r="D26" i="6"/>
  <c r="E26" i="6"/>
  <c r="F26" i="6"/>
  <c r="G26" i="6"/>
  <c r="H26" i="6"/>
  <c r="I26" i="6"/>
  <c r="J26" i="6"/>
  <c r="C27" i="6"/>
  <c r="D27" i="6"/>
  <c r="E27" i="6"/>
  <c r="F27" i="6"/>
  <c r="G27" i="6"/>
  <c r="H27" i="6"/>
  <c r="I27" i="6"/>
  <c r="J27" i="6"/>
  <c r="C28" i="6"/>
  <c r="D28" i="6"/>
  <c r="E28" i="6"/>
  <c r="G28" i="6"/>
  <c r="H28" i="6"/>
  <c r="I28" i="6"/>
  <c r="J28" i="6"/>
  <c r="D25" i="6"/>
  <c r="E25" i="6"/>
  <c r="F25" i="6"/>
  <c r="G25" i="6"/>
  <c r="H25" i="6"/>
  <c r="I25" i="6"/>
  <c r="J25" i="6"/>
  <c r="C25" i="6"/>
  <c r="H32" i="6" l="1"/>
  <c r="J30" i="6"/>
  <c r="D32" i="6"/>
  <c r="F30" i="6"/>
  <c r="D31" i="6"/>
  <c r="D33" i="6"/>
  <c r="I30" i="6"/>
  <c r="C33" i="6"/>
  <c r="C32" i="6"/>
  <c r="C31" i="6"/>
  <c r="D30" i="6"/>
  <c r="J32" i="6"/>
  <c r="J31" i="6"/>
  <c r="F33" i="6"/>
  <c r="G30" i="6"/>
  <c r="E33" i="6"/>
  <c r="E32" i="6"/>
  <c r="E31" i="6"/>
  <c r="E30" i="6"/>
  <c r="G32" i="6"/>
  <c r="G31" i="6"/>
  <c r="H30" i="6"/>
  <c r="G33" i="6"/>
  <c r="F32" i="6"/>
  <c r="F31" i="6"/>
  <c r="C30" i="6"/>
  <c r="J33" i="6"/>
  <c r="I32" i="6"/>
  <c r="I31" i="6"/>
  <c r="I33" i="6"/>
  <c r="H31" i="6"/>
  <c r="H33" i="6"/>
  <c r="H37" i="20"/>
  <c r="I37" i="20"/>
  <c r="J37" i="20"/>
  <c r="J68" i="20" s="1"/>
  <c r="R37" i="20"/>
  <c r="S37" i="20"/>
  <c r="T37" i="20"/>
  <c r="T68" i="20" s="1"/>
  <c r="D38" i="20"/>
  <c r="E38" i="20"/>
  <c r="F38" i="20"/>
  <c r="F69" i="20" s="1"/>
  <c r="N38" i="20"/>
  <c r="O38" i="20"/>
  <c r="P38" i="20"/>
  <c r="P69" i="20" s="1"/>
  <c r="X38" i="20"/>
  <c r="Y38" i="20"/>
  <c r="Z38" i="20"/>
  <c r="Z69" i="20" s="1"/>
  <c r="J39" i="20"/>
  <c r="K39" i="20"/>
  <c r="L39" i="20"/>
  <c r="L70" i="20" s="1"/>
  <c r="T39" i="20"/>
  <c r="U39" i="20"/>
  <c r="V39" i="20"/>
  <c r="V70" i="20" s="1"/>
  <c r="C71" i="20"/>
  <c r="E42" i="20"/>
  <c r="F42" i="20"/>
  <c r="G42" i="20"/>
  <c r="O42" i="20"/>
  <c r="P42" i="20"/>
  <c r="Q42" i="20"/>
  <c r="G43" i="20"/>
  <c r="I43" i="20"/>
  <c r="Q43" i="20"/>
  <c r="X43" i="20"/>
  <c r="J44" i="20"/>
  <c r="K44" i="20"/>
  <c r="L44" i="20"/>
  <c r="C45" i="20"/>
  <c r="D45" i="20"/>
  <c r="E45" i="20"/>
  <c r="M45" i="20"/>
  <c r="N45" i="20"/>
  <c r="O4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V46" i="20"/>
  <c r="W46" i="20"/>
  <c r="X46" i="20"/>
  <c r="Y46" i="20"/>
  <c r="Z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V47" i="20"/>
  <c r="W47" i="20"/>
  <c r="X47" i="20"/>
  <c r="Y47" i="20"/>
  <c r="Z47" i="20"/>
  <c r="C48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S48" i="20"/>
  <c r="T48" i="20"/>
  <c r="U48" i="20"/>
  <c r="V48" i="20"/>
  <c r="W48" i="20"/>
  <c r="X48" i="20"/>
  <c r="Y48" i="20"/>
  <c r="Z48" i="20"/>
  <c r="C49" i="20"/>
  <c r="D49" i="20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W49" i="20"/>
  <c r="X49" i="20"/>
  <c r="Y49" i="20"/>
  <c r="Z49" i="20"/>
  <c r="J50" i="20"/>
  <c r="T50" i="20"/>
  <c r="E51" i="20"/>
  <c r="G51" i="20"/>
  <c r="O51" i="20"/>
  <c r="Q51" i="20"/>
  <c r="Y51" i="20"/>
  <c r="C52" i="20"/>
  <c r="K52" i="20"/>
  <c r="M52" i="20"/>
  <c r="U52" i="20"/>
  <c r="W52" i="20"/>
  <c r="G53" i="20"/>
  <c r="I53" i="20"/>
  <c r="Q53" i="20"/>
  <c r="S53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Z54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R55" i="20"/>
  <c r="S55" i="20"/>
  <c r="T55" i="20"/>
  <c r="U55" i="20"/>
  <c r="V55" i="20"/>
  <c r="W55" i="20"/>
  <c r="X55" i="20"/>
  <c r="Y55" i="20"/>
  <c r="Z55" i="20"/>
  <c r="F56" i="20"/>
  <c r="G56" i="20"/>
  <c r="P56" i="20"/>
  <c r="Q56" i="20"/>
  <c r="C58" i="20"/>
  <c r="M58" i="20"/>
  <c r="E59" i="20"/>
  <c r="F59" i="20"/>
  <c r="G59" i="20"/>
  <c r="O59" i="20"/>
  <c r="P59" i="20"/>
  <c r="Q59" i="20"/>
  <c r="C60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X60" i="20"/>
  <c r="Y60" i="20"/>
  <c r="Z60" i="20"/>
  <c r="C61" i="20"/>
  <c r="D61" i="20"/>
  <c r="E61" i="20"/>
  <c r="F61" i="20"/>
  <c r="G61" i="20"/>
  <c r="H61" i="20"/>
  <c r="I61" i="20"/>
  <c r="J61" i="20"/>
  <c r="K61" i="20"/>
  <c r="L61" i="20"/>
  <c r="M61" i="20"/>
  <c r="N61" i="20"/>
  <c r="O61" i="20"/>
  <c r="P61" i="20"/>
  <c r="Q61" i="20"/>
  <c r="R61" i="20"/>
  <c r="S61" i="20"/>
  <c r="T61" i="20"/>
  <c r="U61" i="20"/>
  <c r="V61" i="20"/>
  <c r="W61" i="20"/>
  <c r="X61" i="20"/>
  <c r="Y61" i="20"/>
  <c r="Z61" i="20"/>
  <c r="C62" i="20"/>
  <c r="D62" i="20"/>
  <c r="E62" i="20"/>
  <c r="F62" i="20"/>
  <c r="G62" i="20"/>
  <c r="H62" i="20"/>
  <c r="I62" i="20"/>
  <c r="J62" i="20"/>
  <c r="K62" i="20"/>
  <c r="L62" i="20"/>
  <c r="M62" i="20"/>
  <c r="N62" i="20"/>
  <c r="O62" i="20"/>
  <c r="P62" i="20"/>
  <c r="Q62" i="20"/>
  <c r="R62" i="20"/>
  <c r="S62" i="20"/>
  <c r="T62" i="20"/>
  <c r="U62" i="20"/>
  <c r="V62" i="20"/>
  <c r="W62" i="20"/>
  <c r="X62" i="20"/>
  <c r="Y62" i="20"/>
  <c r="Z62" i="20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Q63" i="20"/>
  <c r="R63" i="20"/>
  <c r="S63" i="20"/>
  <c r="T63" i="20"/>
  <c r="U63" i="20"/>
  <c r="V63" i="20"/>
  <c r="W63" i="20"/>
  <c r="X63" i="20"/>
  <c r="Y63" i="20"/>
  <c r="Z63" i="20"/>
  <c r="C64" i="20"/>
  <c r="D64" i="20"/>
  <c r="E64" i="20"/>
  <c r="F64" i="20"/>
  <c r="G64" i="20"/>
  <c r="H64" i="20"/>
  <c r="I64" i="20"/>
  <c r="J64" i="20"/>
  <c r="K64" i="20"/>
  <c r="L64" i="20"/>
  <c r="M64" i="20"/>
  <c r="N64" i="20"/>
  <c r="O64" i="20"/>
  <c r="P64" i="20"/>
  <c r="Q64" i="20"/>
  <c r="R64" i="20"/>
  <c r="S64" i="20"/>
  <c r="T64" i="20"/>
  <c r="U64" i="20"/>
  <c r="V64" i="20"/>
  <c r="W64" i="20"/>
  <c r="X64" i="20"/>
  <c r="Y64" i="20"/>
  <c r="Z64" i="20"/>
  <c r="C65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Q65" i="20"/>
  <c r="R65" i="20"/>
  <c r="S65" i="20"/>
  <c r="T65" i="20"/>
  <c r="U65" i="20"/>
  <c r="V65" i="20"/>
  <c r="W65" i="20"/>
  <c r="X65" i="20"/>
  <c r="Y65" i="20"/>
  <c r="Z65" i="20"/>
  <c r="C66" i="20"/>
  <c r="D66" i="20"/>
  <c r="E66" i="20"/>
  <c r="F66" i="20"/>
  <c r="G66" i="20"/>
  <c r="H66" i="20"/>
  <c r="I66" i="20"/>
  <c r="J66" i="20"/>
  <c r="K66" i="20"/>
  <c r="L66" i="20"/>
  <c r="M66" i="20"/>
  <c r="N66" i="20"/>
  <c r="O66" i="20"/>
  <c r="P66" i="20"/>
  <c r="Q66" i="20"/>
  <c r="R66" i="20"/>
  <c r="S66" i="20"/>
  <c r="T66" i="20"/>
  <c r="U66" i="20"/>
  <c r="V66" i="20"/>
  <c r="W66" i="20"/>
  <c r="X66" i="20"/>
  <c r="Y66" i="20"/>
  <c r="Z66" i="20"/>
  <c r="M67" i="20"/>
  <c r="W67" i="20"/>
  <c r="H68" i="20"/>
  <c r="I68" i="20"/>
  <c r="R68" i="20"/>
  <c r="S68" i="20"/>
  <c r="D69" i="20"/>
  <c r="E69" i="20"/>
  <c r="N69" i="20"/>
  <c r="O69" i="20"/>
  <c r="X69" i="20"/>
  <c r="Y69" i="20"/>
  <c r="J70" i="20"/>
  <c r="K70" i="20"/>
  <c r="T70" i="20"/>
  <c r="U70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V71" i="20"/>
  <c r="W71" i="20"/>
  <c r="X71" i="20"/>
  <c r="Y71" i="20"/>
  <c r="Z71" i="20"/>
  <c r="D36" i="20"/>
  <c r="D67" i="20" s="1"/>
  <c r="E36" i="20"/>
  <c r="E67" i="20" s="1"/>
  <c r="M36" i="20"/>
  <c r="N36" i="20"/>
  <c r="N67" i="20" s="1"/>
  <c r="O36" i="20"/>
  <c r="O67" i="20" s="1"/>
  <c r="W36" i="20"/>
  <c r="X36" i="20"/>
  <c r="X67" i="20" s="1"/>
  <c r="Y36" i="20"/>
  <c r="Y67" i="20" s="1"/>
  <c r="C5" i="20"/>
  <c r="C36" i="20" s="1"/>
  <c r="C67" i="20" s="1"/>
  <c r="Z14" i="20"/>
  <c r="Z45" i="20" s="1"/>
  <c r="Y14" i="20"/>
  <c r="Y45" i="20" s="1"/>
  <c r="X14" i="20"/>
  <c r="X45" i="20" s="1"/>
  <c r="W14" i="20"/>
  <c r="W45" i="20" s="1"/>
  <c r="V14" i="20"/>
  <c r="V45" i="20" s="1"/>
  <c r="U14" i="20"/>
  <c r="U28" i="20" s="1"/>
  <c r="U59" i="20" s="1"/>
  <c r="T14" i="20"/>
  <c r="T45" i="20" s="1"/>
  <c r="S14" i="20"/>
  <c r="S45" i="20" s="1"/>
  <c r="R14" i="20"/>
  <c r="R45" i="20" s="1"/>
  <c r="Q14" i="20"/>
  <c r="Q45" i="20" s="1"/>
  <c r="P14" i="20"/>
  <c r="P45" i="20" s="1"/>
  <c r="O14" i="20"/>
  <c r="N14" i="20"/>
  <c r="M14" i="20"/>
  <c r="L14" i="20"/>
  <c r="L28" i="20" s="1"/>
  <c r="L59" i="20" s="1"/>
  <c r="K14" i="20"/>
  <c r="K45" i="20" s="1"/>
  <c r="J14" i="20"/>
  <c r="J28" i="20" s="1"/>
  <c r="J59" i="20" s="1"/>
  <c r="I14" i="20"/>
  <c r="I45" i="20" s="1"/>
  <c r="H14" i="20"/>
  <c r="H45" i="20" s="1"/>
  <c r="G14" i="20"/>
  <c r="G45" i="20" s="1"/>
  <c r="F14" i="20"/>
  <c r="F45" i="20" s="1"/>
  <c r="E14" i="20"/>
  <c r="D14" i="20"/>
  <c r="C14" i="20"/>
  <c r="Z13" i="20"/>
  <c r="Z44" i="20" s="1"/>
  <c r="Y13" i="20"/>
  <c r="Y44" i="20" s="1"/>
  <c r="X13" i="20"/>
  <c r="X27" i="20" s="1"/>
  <c r="X58" i="20" s="1"/>
  <c r="W13" i="20"/>
  <c r="W44" i="20" s="1"/>
  <c r="V13" i="20"/>
  <c r="V44" i="20" s="1"/>
  <c r="U13" i="20"/>
  <c r="U44" i="20" s="1"/>
  <c r="T13" i="20"/>
  <c r="T44" i="20" s="1"/>
  <c r="S13" i="20"/>
  <c r="S44" i="20" s="1"/>
  <c r="R13" i="20"/>
  <c r="R44" i="20" s="1"/>
  <c r="Q13" i="20"/>
  <c r="Q27" i="20" s="1"/>
  <c r="Q58" i="20" s="1"/>
  <c r="P13" i="20"/>
  <c r="P27" i="20" s="1"/>
  <c r="P58" i="20" s="1"/>
  <c r="O13" i="20"/>
  <c r="O44" i="20" s="1"/>
  <c r="N13" i="20"/>
  <c r="N44" i="20" s="1"/>
  <c r="M13" i="20"/>
  <c r="M44" i="20" s="1"/>
  <c r="L13" i="20"/>
  <c r="K13" i="20"/>
  <c r="J13" i="20"/>
  <c r="I13" i="20"/>
  <c r="I44" i="20" s="1"/>
  <c r="H13" i="20"/>
  <c r="H44" i="20" s="1"/>
  <c r="G13" i="20"/>
  <c r="G27" i="20" s="1"/>
  <c r="G58" i="20" s="1"/>
  <c r="F13" i="20"/>
  <c r="F27" i="20" s="1"/>
  <c r="F58" i="20" s="1"/>
  <c r="E13" i="20"/>
  <c r="E44" i="20" s="1"/>
  <c r="D13" i="20"/>
  <c r="D44" i="20" s="1"/>
  <c r="C13" i="20"/>
  <c r="C44" i="20" s="1"/>
  <c r="Z12" i="20"/>
  <c r="Z43" i="20" s="1"/>
  <c r="Y12" i="20"/>
  <c r="Y43" i="20" s="1"/>
  <c r="X12" i="20"/>
  <c r="W12" i="20"/>
  <c r="W43" i="20" s="1"/>
  <c r="V12" i="20"/>
  <c r="V43" i="20" s="1"/>
  <c r="U12" i="20"/>
  <c r="U43" i="20" s="1"/>
  <c r="T12" i="20"/>
  <c r="T43" i="20" s="1"/>
  <c r="S12" i="20"/>
  <c r="S43" i="20" s="1"/>
  <c r="R12" i="20"/>
  <c r="R43" i="20" s="1"/>
  <c r="Q12" i="20"/>
  <c r="P12" i="20"/>
  <c r="P43" i="20" s="1"/>
  <c r="O12" i="20"/>
  <c r="O43" i="20" s="1"/>
  <c r="N12" i="20"/>
  <c r="N43" i="20" s="1"/>
  <c r="M12" i="20"/>
  <c r="M43" i="20" s="1"/>
  <c r="L12" i="20"/>
  <c r="L43" i="20" s="1"/>
  <c r="K12" i="20"/>
  <c r="K43" i="20" s="1"/>
  <c r="J12" i="20"/>
  <c r="J43" i="20" s="1"/>
  <c r="I12" i="20"/>
  <c r="I26" i="20" s="1"/>
  <c r="I57" i="20" s="1"/>
  <c r="H12" i="20"/>
  <c r="H26" i="20" s="1"/>
  <c r="H57" i="20" s="1"/>
  <c r="G12" i="20"/>
  <c r="F12" i="20"/>
  <c r="F43" i="20" s="1"/>
  <c r="E12" i="20"/>
  <c r="E43" i="20" s="1"/>
  <c r="D12" i="20"/>
  <c r="D43" i="20" s="1"/>
  <c r="C12" i="20"/>
  <c r="C43" i="20" s="1"/>
  <c r="Z11" i="20"/>
  <c r="Z42" i="20" s="1"/>
  <c r="Y11" i="20"/>
  <c r="Y42" i="20" s="1"/>
  <c r="X11" i="20"/>
  <c r="X42" i="20" s="1"/>
  <c r="W11" i="20"/>
  <c r="W42" i="20" s="1"/>
  <c r="V11" i="20"/>
  <c r="V42" i="20" s="1"/>
  <c r="U11" i="20"/>
  <c r="U42" i="20" s="1"/>
  <c r="T11" i="20"/>
  <c r="T42" i="20" s="1"/>
  <c r="S11" i="20"/>
  <c r="S42" i="20" s="1"/>
  <c r="R11" i="20"/>
  <c r="R42" i="20" s="1"/>
  <c r="Q11" i="20"/>
  <c r="P11" i="20"/>
  <c r="O11" i="20"/>
  <c r="N11" i="20"/>
  <c r="N42" i="20" s="1"/>
  <c r="M11" i="20"/>
  <c r="M25" i="20" s="1"/>
  <c r="M56" i="20" s="1"/>
  <c r="L11" i="20"/>
  <c r="L25" i="20" s="1"/>
  <c r="L56" i="20" s="1"/>
  <c r="K11" i="20"/>
  <c r="K42" i="20" s="1"/>
  <c r="J11" i="20"/>
  <c r="J42" i="20" s="1"/>
  <c r="I11" i="20"/>
  <c r="I42" i="20" s="1"/>
  <c r="H11" i="20"/>
  <c r="H42" i="20" s="1"/>
  <c r="G11" i="20"/>
  <c r="F11" i="20"/>
  <c r="E11" i="20"/>
  <c r="D11" i="20"/>
  <c r="D42" i="20" s="1"/>
  <c r="C11" i="20"/>
  <c r="C25" i="20" s="1"/>
  <c r="C56" i="20" s="1"/>
  <c r="C6" i="20"/>
  <c r="C37" i="20" s="1"/>
  <c r="C68" i="20" s="1"/>
  <c r="D6" i="20"/>
  <c r="D37" i="20" s="1"/>
  <c r="D68" i="20" s="1"/>
  <c r="E6" i="20"/>
  <c r="E37" i="20" s="1"/>
  <c r="E68" i="20" s="1"/>
  <c r="F6" i="20"/>
  <c r="F37" i="20" s="1"/>
  <c r="F68" i="20" s="1"/>
  <c r="G6" i="20"/>
  <c r="G37" i="20" s="1"/>
  <c r="G68" i="20" s="1"/>
  <c r="H6" i="20"/>
  <c r="I6" i="20"/>
  <c r="J6" i="20"/>
  <c r="J20" i="20" s="1"/>
  <c r="J51" i="20" s="1"/>
  <c r="K6" i="20"/>
  <c r="K37" i="20" s="1"/>
  <c r="K68" i="20" s="1"/>
  <c r="L6" i="20"/>
  <c r="L37" i="20" s="1"/>
  <c r="L68" i="20" s="1"/>
  <c r="M6" i="20"/>
  <c r="M37" i="20" s="1"/>
  <c r="M68" i="20" s="1"/>
  <c r="N6" i="20"/>
  <c r="N37" i="20" s="1"/>
  <c r="N68" i="20" s="1"/>
  <c r="O6" i="20"/>
  <c r="O37" i="20" s="1"/>
  <c r="O68" i="20" s="1"/>
  <c r="P6" i="20"/>
  <c r="P37" i="20" s="1"/>
  <c r="P68" i="20" s="1"/>
  <c r="Q6" i="20"/>
  <c r="Q37" i="20" s="1"/>
  <c r="Q68" i="20" s="1"/>
  <c r="R6" i="20"/>
  <c r="S6" i="20"/>
  <c r="T6" i="20"/>
  <c r="T20" i="20" s="1"/>
  <c r="T51" i="20" s="1"/>
  <c r="U6" i="20"/>
  <c r="U37" i="20" s="1"/>
  <c r="U68" i="20" s="1"/>
  <c r="V6" i="20"/>
  <c r="V37" i="20" s="1"/>
  <c r="V68" i="20" s="1"/>
  <c r="W6" i="20"/>
  <c r="W37" i="20" s="1"/>
  <c r="W68" i="20" s="1"/>
  <c r="X6" i="20"/>
  <c r="X37" i="20" s="1"/>
  <c r="X68" i="20" s="1"/>
  <c r="Y6" i="20"/>
  <c r="Y37" i="20" s="1"/>
  <c r="Y68" i="20" s="1"/>
  <c r="Z6" i="20"/>
  <c r="Z37" i="20" s="1"/>
  <c r="Z68" i="20" s="1"/>
  <c r="C7" i="20"/>
  <c r="C38" i="20" s="1"/>
  <c r="C69" i="20" s="1"/>
  <c r="D7" i="20"/>
  <c r="E7" i="20"/>
  <c r="F7" i="20"/>
  <c r="F21" i="20" s="1"/>
  <c r="F52" i="20" s="1"/>
  <c r="G7" i="20"/>
  <c r="G38" i="20" s="1"/>
  <c r="G69" i="20" s="1"/>
  <c r="H7" i="20"/>
  <c r="H38" i="20" s="1"/>
  <c r="H69" i="20" s="1"/>
  <c r="I7" i="20"/>
  <c r="I38" i="20" s="1"/>
  <c r="I69" i="20" s="1"/>
  <c r="J7" i="20"/>
  <c r="J38" i="20" s="1"/>
  <c r="J69" i="20" s="1"/>
  <c r="K7" i="20"/>
  <c r="K38" i="20" s="1"/>
  <c r="K69" i="20" s="1"/>
  <c r="L7" i="20"/>
  <c r="L38" i="20" s="1"/>
  <c r="L69" i="20" s="1"/>
  <c r="M7" i="20"/>
  <c r="M38" i="20" s="1"/>
  <c r="M69" i="20" s="1"/>
  <c r="N7" i="20"/>
  <c r="O7" i="20"/>
  <c r="P7" i="20"/>
  <c r="P21" i="20" s="1"/>
  <c r="P52" i="20" s="1"/>
  <c r="Q7" i="20"/>
  <c r="Q38" i="20" s="1"/>
  <c r="Q69" i="20" s="1"/>
  <c r="R7" i="20"/>
  <c r="R38" i="20" s="1"/>
  <c r="R69" i="20" s="1"/>
  <c r="S7" i="20"/>
  <c r="S38" i="20" s="1"/>
  <c r="S69" i="20" s="1"/>
  <c r="T7" i="20"/>
  <c r="T38" i="20" s="1"/>
  <c r="T69" i="20" s="1"/>
  <c r="U7" i="20"/>
  <c r="U38" i="20" s="1"/>
  <c r="U69" i="20" s="1"/>
  <c r="V7" i="20"/>
  <c r="V38" i="20" s="1"/>
  <c r="V69" i="20" s="1"/>
  <c r="W7" i="20"/>
  <c r="W38" i="20" s="1"/>
  <c r="W69" i="20" s="1"/>
  <c r="X7" i="20"/>
  <c r="Y7" i="20"/>
  <c r="Z7" i="20"/>
  <c r="Z21" i="20" s="1"/>
  <c r="Z52" i="20" s="1"/>
  <c r="C8" i="20"/>
  <c r="C39" i="20" s="1"/>
  <c r="C70" i="20" s="1"/>
  <c r="D8" i="20"/>
  <c r="D39" i="20" s="1"/>
  <c r="D70" i="20" s="1"/>
  <c r="E8" i="20"/>
  <c r="E39" i="20" s="1"/>
  <c r="E70" i="20" s="1"/>
  <c r="F8" i="20"/>
  <c r="F39" i="20" s="1"/>
  <c r="F70" i="20" s="1"/>
  <c r="G8" i="20"/>
  <c r="G39" i="20" s="1"/>
  <c r="G70" i="20" s="1"/>
  <c r="H8" i="20"/>
  <c r="H39" i="20" s="1"/>
  <c r="H70" i="20" s="1"/>
  <c r="I8" i="20"/>
  <c r="I39" i="20" s="1"/>
  <c r="I70" i="20" s="1"/>
  <c r="J8" i="20"/>
  <c r="K8" i="20"/>
  <c r="L8" i="20"/>
  <c r="L22" i="20" s="1"/>
  <c r="L53" i="20" s="1"/>
  <c r="M8" i="20"/>
  <c r="M39" i="20" s="1"/>
  <c r="M70" i="20" s="1"/>
  <c r="N8" i="20"/>
  <c r="N39" i="20" s="1"/>
  <c r="N70" i="20" s="1"/>
  <c r="O8" i="20"/>
  <c r="O39" i="20" s="1"/>
  <c r="O70" i="20" s="1"/>
  <c r="P8" i="20"/>
  <c r="P39" i="20" s="1"/>
  <c r="P70" i="20" s="1"/>
  <c r="Q8" i="20"/>
  <c r="Q39" i="20" s="1"/>
  <c r="Q70" i="20" s="1"/>
  <c r="R8" i="20"/>
  <c r="R39" i="20" s="1"/>
  <c r="R70" i="20" s="1"/>
  <c r="S8" i="20"/>
  <c r="S39" i="20" s="1"/>
  <c r="S70" i="20" s="1"/>
  <c r="T8" i="20"/>
  <c r="U8" i="20"/>
  <c r="V8" i="20"/>
  <c r="V22" i="20" s="1"/>
  <c r="V53" i="20" s="1"/>
  <c r="W8" i="20"/>
  <c r="W39" i="20" s="1"/>
  <c r="W70" i="20" s="1"/>
  <c r="X8" i="20"/>
  <c r="X39" i="20" s="1"/>
  <c r="X70" i="20" s="1"/>
  <c r="Y8" i="20"/>
  <c r="Y39" i="20" s="1"/>
  <c r="Y70" i="20" s="1"/>
  <c r="Z8" i="20"/>
  <c r="Z39" i="20" s="1"/>
  <c r="Z70" i="20" s="1"/>
  <c r="D5" i="20"/>
  <c r="E5" i="20"/>
  <c r="F5" i="20"/>
  <c r="F36" i="20" s="1"/>
  <c r="F67" i="20" s="1"/>
  <c r="G5" i="20"/>
  <c r="G19" i="20" s="1"/>
  <c r="G50" i="20" s="1"/>
  <c r="H5" i="20"/>
  <c r="H36" i="20" s="1"/>
  <c r="H67" i="20" s="1"/>
  <c r="I5" i="20"/>
  <c r="I36" i="20" s="1"/>
  <c r="I67" i="20" s="1"/>
  <c r="J5" i="20"/>
  <c r="J36" i="20" s="1"/>
  <c r="J67" i="20" s="1"/>
  <c r="K5" i="20"/>
  <c r="K36" i="20" s="1"/>
  <c r="K67" i="20" s="1"/>
  <c r="L5" i="20"/>
  <c r="L19" i="20" s="1"/>
  <c r="L50" i="20" s="1"/>
  <c r="M5" i="20"/>
  <c r="N5" i="20"/>
  <c r="O5" i="20"/>
  <c r="P5" i="20"/>
  <c r="P36" i="20" s="1"/>
  <c r="P67" i="20" s="1"/>
  <c r="Q5" i="20"/>
  <c r="Q19" i="20" s="1"/>
  <c r="Q50" i="20" s="1"/>
  <c r="R5" i="20"/>
  <c r="R36" i="20" s="1"/>
  <c r="R67" i="20" s="1"/>
  <c r="S5" i="20"/>
  <c r="S36" i="20" s="1"/>
  <c r="S67" i="20" s="1"/>
  <c r="T5" i="20"/>
  <c r="T36" i="20" s="1"/>
  <c r="T67" i="20" s="1"/>
  <c r="U5" i="20"/>
  <c r="U36" i="20" s="1"/>
  <c r="U67" i="20" s="1"/>
  <c r="V5" i="20"/>
  <c r="V19" i="20" s="1"/>
  <c r="V50" i="20" s="1"/>
  <c r="W5" i="20"/>
  <c r="X5" i="20"/>
  <c r="Y5" i="20"/>
  <c r="Z5" i="20"/>
  <c r="Z19" i="20" s="1"/>
  <c r="Z50" i="20" s="1"/>
  <c r="Z28" i="20"/>
  <c r="Z59" i="20" s="1"/>
  <c r="Y28" i="20"/>
  <c r="Y59" i="20" s="1"/>
  <c r="X28" i="20"/>
  <c r="X59" i="20" s="1"/>
  <c r="S28" i="20"/>
  <c r="S59" i="20" s="1"/>
  <c r="R28" i="20"/>
  <c r="R59" i="20" s="1"/>
  <c r="Q28" i="20"/>
  <c r="P28" i="20"/>
  <c r="O28" i="20"/>
  <c r="N28" i="20"/>
  <c r="N59" i="20" s="1"/>
  <c r="M28" i="20"/>
  <c r="M59" i="20" s="1"/>
  <c r="I28" i="20"/>
  <c r="I59" i="20" s="1"/>
  <c r="H28" i="20"/>
  <c r="H59" i="20" s="1"/>
  <c r="G28" i="20"/>
  <c r="F28" i="20"/>
  <c r="E28" i="20"/>
  <c r="D28" i="20"/>
  <c r="D59" i="20" s="1"/>
  <c r="C28" i="20"/>
  <c r="C59" i="20" s="1"/>
  <c r="V27" i="20"/>
  <c r="V58" i="20" s="1"/>
  <c r="T27" i="20"/>
  <c r="T58" i="20" s="1"/>
  <c r="S27" i="20"/>
  <c r="S58" i="20" s="1"/>
  <c r="R27" i="20"/>
  <c r="R58" i="20" s="1"/>
  <c r="M27" i="20"/>
  <c r="L27" i="20"/>
  <c r="L58" i="20" s="1"/>
  <c r="K27" i="20"/>
  <c r="K58" i="20" s="1"/>
  <c r="J27" i="20"/>
  <c r="J58" i="20" s="1"/>
  <c r="I27" i="20"/>
  <c r="I58" i="20" s="1"/>
  <c r="H27" i="20"/>
  <c r="H58" i="20" s="1"/>
  <c r="C27" i="20"/>
  <c r="Z26" i="20"/>
  <c r="Z57" i="20" s="1"/>
  <c r="Y26" i="20"/>
  <c r="Y57" i="20" s="1"/>
  <c r="X26" i="20"/>
  <c r="X57" i="20" s="1"/>
  <c r="V26" i="20"/>
  <c r="V57" i="20" s="1"/>
  <c r="Q26" i="20"/>
  <c r="Q57" i="20" s="1"/>
  <c r="P26" i="20"/>
  <c r="P57" i="20" s="1"/>
  <c r="O26" i="20"/>
  <c r="O57" i="20" s="1"/>
  <c r="N26" i="20"/>
  <c r="N57" i="20" s="1"/>
  <c r="M26" i="20"/>
  <c r="M57" i="20" s="1"/>
  <c r="L26" i="20"/>
  <c r="L57" i="20" s="1"/>
  <c r="G26" i="20"/>
  <c r="G57" i="20" s="1"/>
  <c r="F26" i="20"/>
  <c r="F57" i="20" s="1"/>
  <c r="E26" i="20"/>
  <c r="E57" i="20" s="1"/>
  <c r="D26" i="20"/>
  <c r="D57" i="20" s="1"/>
  <c r="C26" i="20"/>
  <c r="C57" i="20" s="1"/>
  <c r="Z25" i="20"/>
  <c r="Z56" i="20" s="1"/>
  <c r="U25" i="20"/>
  <c r="U56" i="20" s="1"/>
  <c r="T25" i="20"/>
  <c r="T56" i="20" s="1"/>
  <c r="R25" i="20"/>
  <c r="R56" i="20" s="1"/>
  <c r="Q25" i="20"/>
  <c r="P25" i="20"/>
  <c r="O25" i="20"/>
  <c r="O56" i="20" s="1"/>
  <c r="N25" i="20"/>
  <c r="N56" i="20" s="1"/>
  <c r="K25" i="20"/>
  <c r="K56" i="20" s="1"/>
  <c r="J25" i="20"/>
  <c r="J56" i="20" s="1"/>
  <c r="I25" i="20"/>
  <c r="I56" i="20" s="1"/>
  <c r="H25" i="20"/>
  <c r="H56" i="20" s="1"/>
  <c r="G25" i="20"/>
  <c r="F25" i="20"/>
  <c r="E25" i="20"/>
  <c r="E56" i="20" s="1"/>
  <c r="D25" i="20"/>
  <c r="D56" i="20" s="1"/>
  <c r="Z22" i="20"/>
  <c r="Z53" i="20" s="1"/>
  <c r="U22" i="20"/>
  <c r="U53" i="20" s="1"/>
  <c r="T22" i="20"/>
  <c r="T53" i="20" s="1"/>
  <c r="S22" i="20"/>
  <c r="R22" i="20"/>
  <c r="R53" i="20" s="1"/>
  <c r="Q22" i="20"/>
  <c r="P22" i="20"/>
  <c r="P53" i="20" s="1"/>
  <c r="K22" i="20"/>
  <c r="K53" i="20" s="1"/>
  <c r="J22" i="20"/>
  <c r="J53" i="20" s="1"/>
  <c r="I22" i="20"/>
  <c r="H22" i="20"/>
  <c r="H53" i="20" s="1"/>
  <c r="G22" i="20"/>
  <c r="F22" i="20"/>
  <c r="F53" i="20" s="1"/>
  <c r="Y21" i="20"/>
  <c r="Y52" i="20" s="1"/>
  <c r="X21" i="20"/>
  <c r="X52" i="20" s="1"/>
  <c r="W21" i="20"/>
  <c r="V21" i="20"/>
  <c r="V52" i="20" s="1"/>
  <c r="U21" i="20"/>
  <c r="T21" i="20"/>
  <c r="T52" i="20" s="1"/>
  <c r="O21" i="20"/>
  <c r="O52" i="20" s="1"/>
  <c r="N21" i="20"/>
  <c r="N52" i="20" s="1"/>
  <c r="M21" i="20"/>
  <c r="L21" i="20"/>
  <c r="L52" i="20" s="1"/>
  <c r="K21" i="20"/>
  <c r="J21" i="20"/>
  <c r="J52" i="20" s="1"/>
  <c r="E21" i="20"/>
  <c r="E52" i="20" s="1"/>
  <c r="D21" i="20"/>
  <c r="D52" i="20" s="1"/>
  <c r="C21" i="20"/>
  <c r="Z20" i="20"/>
  <c r="Z51" i="20" s="1"/>
  <c r="Y20" i="20"/>
  <c r="X20" i="20"/>
  <c r="X51" i="20" s="1"/>
  <c r="S20" i="20"/>
  <c r="S51" i="20" s="1"/>
  <c r="R20" i="20"/>
  <c r="R51" i="20" s="1"/>
  <c r="Q20" i="20"/>
  <c r="P20" i="20"/>
  <c r="P51" i="20" s="1"/>
  <c r="O20" i="20"/>
  <c r="N20" i="20"/>
  <c r="N51" i="20" s="1"/>
  <c r="I20" i="20"/>
  <c r="I51" i="20" s="1"/>
  <c r="H20" i="20"/>
  <c r="H51" i="20" s="1"/>
  <c r="G20" i="20"/>
  <c r="F20" i="20"/>
  <c r="F51" i="20" s="1"/>
  <c r="E20" i="20"/>
  <c r="D20" i="20"/>
  <c r="D51" i="20" s="1"/>
  <c r="Y19" i="20"/>
  <c r="Y50" i="20" s="1"/>
  <c r="X19" i="20"/>
  <c r="X50" i="20" s="1"/>
  <c r="W19" i="20"/>
  <c r="W50" i="20" s="1"/>
  <c r="T19" i="20"/>
  <c r="S19" i="20"/>
  <c r="S50" i="20" s="1"/>
  <c r="R19" i="20"/>
  <c r="R50" i="20" s="1"/>
  <c r="O19" i="20"/>
  <c r="O50" i="20" s="1"/>
  <c r="N19" i="20"/>
  <c r="N50" i="20" s="1"/>
  <c r="M19" i="20"/>
  <c r="M50" i="20" s="1"/>
  <c r="J19" i="20"/>
  <c r="I19" i="20"/>
  <c r="I50" i="20" s="1"/>
  <c r="H19" i="20"/>
  <c r="H50" i="20" s="1"/>
  <c r="E19" i="20"/>
  <c r="E50" i="20" s="1"/>
  <c r="D19" i="20"/>
  <c r="D50" i="20" s="1"/>
  <c r="C19" i="20"/>
  <c r="C50" i="20" s="1"/>
  <c r="S11" i="5"/>
  <c r="O11" i="5"/>
  <c r="T11" i="5"/>
  <c r="U11" i="5"/>
  <c r="V11" i="5"/>
  <c r="W11" i="5"/>
  <c r="X11" i="5"/>
  <c r="Y11" i="5"/>
  <c r="Z11" i="5"/>
  <c r="S12" i="5"/>
  <c r="T12" i="5"/>
  <c r="U12" i="5"/>
  <c r="V12" i="5"/>
  <c r="W12" i="5"/>
  <c r="X12" i="5"/>
  <c r="Y12" i="5"/>
  <c r="Z12" i="5"/>
  <c r="S13" i="5"/>
  <c r="T13" i="5"/>
  <c r="U13" i="5"/>
  <c r="V13" i="5"/>
  <c r="W13" i="5"/>
  <c r="X13" i="5"/>
  <c r="Y13" i="5"/>
  <c r="Z13" i="5"/>
  <c r="S14" i="5"/>
  <c r="T14" i="5"/>
  <c r="U14" i="5"/>
  <c r="V14" i="5"/>
  <c r="W14" i="5"/>
  <c r="X14" i="5"/>
  <c r="Y14" i="5"/>
  <c r="Z14" i="5"/>
  <c r="Y27" i="20" l="1"/>
  <c r="Y58" i="20" s="1"/>
  <c r="V36" i="20"/>
  <c r="V67" i="20" s="1"/>
  <c r="L36" i="20"/>
  <c r="L67" i="20" s="1"/>
  <c r="L45" i="20"/>
  <c r="X44" i="20"/>
  <c r="H43" i="20"/>
  <c r="K19" i="20"/>
  <c r="K50" i="20" s="1"/>
  <c r="U19" i="20"/>
  <c r="U50" i="20" s="1"/>
  <c r="K28" i="20"/>
  <c r="K59" i="20" s="1"/>
  <c r="D27" i="20"/>
  <c r="D58" i="20" s="1"/>
  <c r="N27" i="20"/>
  <c r="N58" i="20" s="1"/>
  <c r="Z27" i="20"/>
  <c r="Z58" i="20" s="1"/>
  <c r="M42" i="20"/>
  <c r="C42" i="20"/>
  <c r="T28" i="20"/>
  <c r="T59" i="20" s="1"/>
  <c r="K20" i="20"/>
  <c r="K51" i="20" s="1"/>
  <c r="Q21" i="20"/>
  <c r="Q52" i="20" s="1"/>
  <c r="M22" i="20"/>
  <c r="M53" i="20" s="1"/>
  <c r="R26" i="20"/>
  <c r="R57" i="20" s="1"/>
  <c r="E27" i="20"/>
  <c r="E58" i="20" s="1"/>
  <c r="O27" i="20"/>
  <c r="O58" i="20" s="1"/>
  <c r="J45" i="20"/>
  <c r="Q44" i="20"/>
  <c r="G44" i="20"/>
  <c r="L42" i="20"/>
  <c r="N22" i="20"/>
  <c r="N53" i="20" s="1"/>
  <c r="P44" i="20"/>
  <c r="F44" i="20"/>
  <c r="C22" i="20"/>
  <c r="C53" i="20" s="1"/>
  <c r="L20" i="20"/>
  <c r="L51" i="20" s="1"/>
  <c r="H21" i="20"/>
  <c r="H52" i="20" s="1"/>
  <c r="S26" i="20"/>
  <c r="S57" i="20" s="1"/>
  <c r="C20" i="20"/>
  <c r="C51" i="20" s="1"/>
  <c r="M20" i="20"/>
  <c r="M51" i="20" s="1"/>
  <c r="W20" i="20"/>
  <c r="W51" i="20" s="1"/>
  <c r="I21" i="20"/>
  <c r="I52" i="20" s="1"/>
  <c r="S21" i="20"/>
  <c r="S52" i="20" s="1"/>
  <c r="E22" i="20"/>
  <c r="E53" i="20" s="1"/>
  <c r="O22" i="20"/>
  <c r="O53" i="20" s="1"/>
  <c r="Y22" i="20"/>
  <c r="Y53" i="20" s="1"/>
  <c r="X25" i="20"/>
  <c r="X56" i="20" s="1"/>
  <c r="J26" i="20"/>
  <c r="J57" i="20" s="1"/>
  <c r="T26" i="20"/>
  <c r="T57" i="20" s="1"/>
  <c r="G21" i="20"/>
  <c r="G52" i="20" s="1"/>
  <c r="W22" i="20"/>
  <c r="W53" i="20" s="1"/>
  <c r="V20" i="20"/>
  <c r="V51" i="20" s="1"/>
  <c r="R21" i="20"/>
  <c r="R52" i="20" s="1"/>
  <c r="D22" i="20"/>
  <c r="D53" i="20" s="1"/>
  <c r="X22" i="20"/>
  <c r="X53" i="20" s="1"/>
  <c r="F19" i="20"/>
  <c r="F50" i="20" s="1"/>
  <c r="P19" i="20"/>
  <c r="P50" i="20" s="1"/>
  <c r="Y25" i="20"/>
  <c r="Y56" i="20" s="1"/>
  <c r="K26" i="20"/>
  <c r="K57" i="20" s="1"/>
  <c r="U26" i="20"/>
  <c r="U57" i="20" s="1"/>
  <c r="Q36" i="20"/>
  <c r="Q67" i="20" s="1"/>
  <c r="G36" i="20"/>
  <c r="G67" i="20" s="1"/>
  <c r="U20" i="20"/>
  <c r="U51" i="20" s="1"/>
  <c r="Z36" i="20"/>
  <c r="Z67" i="20" s="1"/>
  <c r="S25" i="20"/>
  <c r="S56" i="20" s="1"/>
  <c r="U27" i="20"/>
  <c r="U58" i="20" s="1"/>
  <c r="V28" i="20"/>
  <c r="V59" i="20" s="1"/>
  <c r="U45" i="20"/>
  <c r="V25" i="20"/>
  <c r="V56" i="20" s="1"/>
  <c r="W25" i="20"/>
  <c r="W56" i="20" s="1"/>
  <c r="W26" i="20"/>
  <c r="W57" i="20" s="1"/>
  <c r="W27" i="20"/>
  <c r="W58" i="20" s="1"/>
  <c r="W28" i="20"/>
  <c r="W59" i="20" s="1"/>
  <c r="J7" i="7"/>
  <c r="D7" i="7"/>
  <c r="C7" i="7"/>
  <c r="B7" i="7"/>
  <c r="A7" i="7"/>
  <c r="M32" i="15"/>
  <c r="F32" i="15"/>
  <c r="F33" i="15"/>
  <c r="F34" i="15"/>
  <c r="F36" i="15"/>
  <c r="F37" i="15"/>
  <c r="E7" i="7" s="1"/>
  <c r="F38" i="15"/>
  <c r="F7" i="7" s="1"/>
  <c r="F40" i="15"/>
  <c r="G7" i="7" s="1"/>
  <c r="F41" i="15"/>
  <c r="H7" i="7" s="1"/>
  <c r="F42" i="15"/>
  <c r="I7" i="7" s="1"/>
  <c r="F44" i="15"/>
  <c r="R40" i="15"/>
  <c r="R36" i="15"/>
  <c r="Q43" i="15"/>
  <c r="Q35" i="15"/>
  <c r="R32" i="15"/>
  <c r="F43" i="15" l="1"/>
  <c r="F39" i="15"/>
  <c r="F35" i="15"/>
  <c r="Q39" i="15"/>
  <c r="P42" i="18" l="1"/>
  <c r="P43" i="18" s="1"/>
  <c r="E44" i="15" l="1"/>
  <c r="K12" i="7" l="1"/>
  <c r="G48" i="15"/>
  <c r="O47" i="15"/>
  <c r="G47" i="15"/>
  <c r="S46" i="15"/>
  <c r="P46" i="15"/>
  <c r="M46" i="15"/>
  <c r="N46" i="15" s="1"/>
  <c r="I46" i="15"/>
  <c r="J46" i="15" s="1"/>
  <c r="G46" i="15"/>
  <c r="K46" i="15" s="1"/>
  <c r="L46" i="15" s="1"/>
  <c r="F46" i="15"/>
  <c r="S45" i="15"/>
  <c r="P45" i="15"/>
  <c r="N45" i="15"/>
  <c r="M45" i="15"/>
  <c r="I45" i="15"/>
  <c r="I47" i="15" s="1"/>
  <c r="G45" i="15"/>
  <c r="K45" i="15" s="1"/>
  <c r="L45" i="15" s="1"/>
  <c r="F45" i="15"/>
  <c r="K7" i="7" s="1"/>
  <c r="T44" i="15"/>
  <c r="P44" i="15"/>
  <c r="M44" i="15"/>
  <c r="J44" i="15"/>
  <c r="S43" i="15"/>
  <c r="O43" i="15"/>
  <c r="K43" i="15"/>
  <c r="I43" i="15"/>
  <c r="E43" i="15" s="1"/>
  <c r="D43" i="15"/>
  <c r="G43" i="15" s="1"/>
  <c r="B43" i="15"/>
  <c r="T42" i="15"/>
  <c r="P42" i="15"/>
  <c r="M42" i="15"/>
  <c r="N42" i="15" s="1"/>
  <c r="L42" i="15"/>
  <c r="J42" i="15"/>
  <c r="H42" i="15"/>
  <c r="R42" i="15"/>
  <c r="E42" i="15"/>
  <c r="T41" i="15"/>
  <c r="P41" i="15"/>
  <c r="M41" i="15"/>
  <c r="N41" i="15" s="1"/>
  <c r="L41" i="15"/>
  <c r="J41" i="15"/>
  <c r="H41" i="15"/>
  <c r="E41" i="15"/>
  <c r="T40" i="15"/>
  <c r="P40" i="15"/>
  <c r="M40" i="15"/>
  <c r="N40" i="15" s="1"/>
  <c r="L40" i="15"/>
  <c r="J40" i="15"/>
  <c r="H40" i="15"/>
  <c r="E40" i="15"/>
  <c r="S39" i="15"/>
  <c r="O39" i="15"/>
  <c r="K39" i="15"/>
  <c r="I39" i="15"/>
  <c r="E39" i="15"/>
  <c r="B39" i="15"/>
  <c r="T38" i="15"/>
  <c r="R38" i="15"/>
  <c r="P38" i="15"/>
  <c r="M38" i="15"/>
  <c r="N38" i="15" s="1"/>
  <c r="L38" i="15"/>
  <c r="J38" i="15"/>
  <c r="H38" i="15"/>
  <c r="E38" i="15"/>
  <c r="D38" i="15"/>
  <c r="T37" i="15"/>
  <c r="P37" i="15"/>
  <c r="M37" i="15"/>
  <c r="N37" i="15" s="1"/>
  <c r="L37" i="15"/>
  <c r="J37" i="15"/>
  <c r="H37" i="15"/>
  <c r="R37" i="15"/>
  <c r="E37" i="15"/>
  <c r="D37" i="15"/>
  <c r="T36" i="15"/>
  <c r="P36" i="15"/>
  <c r="M36" i="15"/>
  <c r="N36" i="15" s="1"/>
  <c r="L36" i="15"/>
  <c r="J36" i="15"/>
  <c r="H36" i="15"/>
  <c r="E36" i="15"/>
  <c r="D36" i="15"/>
  <c r="S35" i="15"/>
  <c r="O35" i="15"/>
  <c r="K35" i="15"/>
  <c r="I35" i="15"/>
  <c r="B35" i="15"/>
  <c r="T34" i="15"/>
  <c r="P34" i="15"/>
  <c r="M34" i="15"/>
  <c r="N34" i="15" s="1"/>
  <c r="L34" i="15"/>
  <c r="J34" i="15"/>
  <c r="H34" i="15"/>
  <c r="R34" i="15"/>
  <c r="E34" i="15"/>
  <c r="D34" i="15"/>
  <c r="T33" i="15"/>
  <c r="R33" i="15"/>
  <c r="P33" i="15"/>
  <c r="M33" i="15"/>
  <c r="N33" i="15" s="1"/>
  <c r="L33" i="15"/>
  <c r="L35" i="15" s="1"/>
  <c r="J33" i="15"/>
  <c r="H33" i="15"/>
  <c r="E33" i="15"/>
  <c r="D33" i="15"/>
  <c r="T32" i="15"/>
  <c r="P32" i="15"/>
  <c r="N32" i="15"/>
  <c r="L32" i="15"/>
  <c r="J32" i="15"/>
  <c r="J35" i="15" s="1"/>
  <c r="H35" i="15"/>
  <c r="E32" i="15"/>
  <c r="D32" i="15"/>
  <c r="H27" i="15"/>
  <c r="H26" i="15"/>
  <c r="J39" i="15" l="1"/>
  <c r="U40" i="15"/>
  <c r="W40" i="15" s="1"/>
  <c r="J45" i="15"/>
  <c r="N39" i="15"/>
  <c r="L43" i="15"/>
  <c r="M47" i="15"/>
  <c r="F47" i="15"/>
  <c r="T35" i="15"/>
  <c r="P39" i="15"/>
  <c r="J47" i="15"/>
  <c r="D35" i="15"/>
  <c r="G35" i="15" s="1"/>
  <c r="P43" i="15"/>
  <c r="N44" i="15"/>
  <c r="N47" i="15" s="1"/>
  <c r="H39" i="15"/>
  <c r="L39" i="15"/>
  <c r="I48" i="15"/>
  <c r="M43" i="15"/>
  <c r="T43" i="15"/>
  <c r="P47" i="15"/>
  <c r="Q46" i="15"/>
  <c r="R46" i="15" s="1"/>
  <c r="L7" i="7"/>
  <c r="H43" i="15"/>
  <c r="T39" i="15"/>
  <c r="D39" i="15"/>
  <c r="G39" i="15" s="1"/>
  <c r="U38" i="15"/>
  <c r="W38" i="15" s="1"/>
  <c r="P35" i="15"/>
  <c r="P48" i="15" s="1"/>
  <c r="T45" i="15"/>
  <c r="Q45" i="15"/>
  <c r="T46" i="15"/>
  <c r="O48" i="15"/>
  <c r="L44" i="15"/>
  <c r="L47" i="15" s="1"/>
  <c r="K47" i="15"/>
  <c r="K48" i="15" s="1"/>
  <c r="U33" i="15"/>
  <c r="W33" i="15" s="1"/>
  <c r="R39" i="15"/>
  <c r="U42" i="15"/>
  <c r="W42" i="15" s="1"/>
  <c r="N35" i="15"/>
  <c r="U34" i="15"/>
  <c r="W34" i="15" s="1"/>
  <c r="U37" i="15"/>
  <c r="W37" i="15" s="1"/>
  <c r="N43" i="15"/>
  <c r="E35" i="15"/>
  <c r="M35" i="15"/>
  <c r="S47" i="15"/>
  <c r="S48" i="15" s="1"/>
  <c r="R35" i="15"/>
  <c r="R41" i="15"/>
  <c r="R43" i="15" s="1"/>
  <c r="U43" i="15" s="1"/>
  <c r="W43" i="15" s="1"/>
  <c r="H44" i="15"/>
  <c r="H45" i="15"/>
  <c r="H46" i="15"/>
  <c r="U36" i="15"/>
  <c r="W36" i="15" s="1"/>
  <c r="M39" i="15"/>
  <c r="J43" i="15"/>
  <c r="J48" i="15" s="1"/>
  <c r="R45" i="15" l="1"/>
  <c r="U45" i="15" s="1"/>
  <c r="W45" i="15" s="1"/>
  <c r="Q47" i="15"/>
  <c r="Q48" i="15" s="1"/>
  <c r="T47" i="15"/>
  <c r="T48" i="15" s="1"/>
  <c r="U39" i="15"/>
  <c r="W39" i="15" s="1"/>
  <c r="L48" i="15"/>
  <c r="U35" i="15"/>
  <c r="W35" i="15" s="1"/>
  <c r="U46" i="15"/>
  <c r="W46" i="15" s="1"/>
  <c r="U32" i="15"/>
  <c r="W32" i="15" s="1"/>
  <c r="N48" i="15"/>
  <c r="U41" i="15"/>
  <c r="W41" i="15" s="1"/>
  <c r="R44" i="15"/>
  <c r="R47" i="15" s="1"/>
  <c r="R48" i="15" s="1"/>
  <c r="F48" i="15"/>
  <c r="H47" i="15"/>
  <c r="M48" i="15"/>
  <c r="U44" i="15" l="1"/>
  <c r="W44" i="15" s="1"/>
  <c r="U47" i="15"/>
  <c r="W47" i="15" s="1"/>
  <c r="H48" i="15"/>
  <c r="U48" i="15" s="1"/>
  <c r="W48" i="15" s="1"/>
  <c r="L63" i="17" l="1"/>
  <c r="K63" i="17"/>
  <c r="J63" i="17"/>
  <c r="I63" i="17"/>
  <c r="H63" i="17"/>
  <c r="G63" i="17"/>
  <c r="L62" i="17"/>
  <c r="K62" i="17"/>
  <c r="J62" i="17"/>
  <c r="I62" i="17"/>
  <c r="H62" i="17"/>
  <c r="G62" i="17"/>
  <c r="M63" i="17"/>
  <c r="M62" i="17"/>
  <c r="L60" i="17"/>
  <c r="M60" i="17"/>
  <c r="F60" i="17"/>
  <c r="E60" i="17"/>
  <c r="D60" i="17"/>
  <c r="C60" i="17"/>
  <c r="B60" i="17"/>
  <c r="G60" i="17"/>
  <c r="H60" i="17"/>
  <c r="J60" i="17"/>
  <c r="K60" i="17"/>
  <c r="I60" i="17"/>
  <c r="B64" i="17" l="1"/>
  <c r="G47" i="17" l="1"/>
  <c r="O46" i="17"/>
  <c r="G46" i="17"/>
  <c r="S45" i="17"/>
  <c r="T45" i="17" s="1"/>
  <c r="P45" i="17"/>
  <c r="M45" i="17"/>
  <c r="N45" i="17" s="1"/>
  <c r="I45" i="17"/>
  <c r="J45" i="17" s="1"/>
  <c r="G45" i="17"/>
  <c r="H45" i="17" s="1"/>
  <c r="F45" i="17"/>
  <c r="S44" i="17"/>
  <c r="P44" i="17"/>
  <c r="M44" i="17"/>
  <c r="N44" i="17" s="1"/>
  <c r="I44" i="17"/>
  <c r="J44" i="17" s="1"/>
  <c r="G44" i="17"/>
  <c r="H44" i="17" s="1"/>
  <c r="F44" i="17"/>
  <c r="S43" i="17"/>
  <c r="T43" i="17" s="1"/>
  <c r="P43" i="17"/>
  <c r="M43" i="17"/>
  <c r="N43" i="17" s="1"/>
  <c r="I43" i="17"/>
  <c r="J43" i="17" s="1"/>
  <c r="G43" i="17"/>
  <c r="H43" i="17" s="1"/>
  <c r="F43" i="17"/>
  <c r="O42" i="17"/>
  <c r="G42" i="17"/>
  <c r="S41" i="17"/>
  <c r="P41" i="17"/>
  <c r="M41" i="17"/>
  <c r="N41" i="17" s="1"/>
  <c r="I41" i="17"/>
  <c r="J41" i="17" s="1"/>
  <c r="G41" i="17"/>
  <c r="K41" i="17" s="1"/>
  <c r="L41" i="17" s="1"/>
  <c r="F41" i="17"/>
  <c r="S40" i="17"/>
  <c r="P40" i="17"/>
  <c r="M40" i="17"/>
  <c r="N40" i="17" s="1"/>
  <c r="I40" i="17"/>
  <c r="J40" i="17" s="1"/>
  <c r="G40" i="17"/>
  <c r="K40" i="17" s="1"/>
  <c r="L40" i="17" s="1"/>
  <c r="F40" i="17"/>
  <c r="S39" i="17"/>
  <c r="P39" i="17"/>
  <c r="M39" i="17"/>
  <c r="I39" i="17"/>
  <c r="J39" i="17" s="1"/>
  <c r="G39" i="17"/>
  <c r="K39" i="17" s="1"/>
  <c r="F39" i="17"/>
  <c r="S38" i="17"/>
  <c r="O38" i="17"/>
  <c r="G38" i="17"/>
  <c r="S37" i="17"/>
  <c r="P37" i="17"/>
  <c r="M37" i="17"/>
  <c r="N37" i="17" s="1"/>
  <c r="I37" i="17"/>
  <c r="G37" i="17"/>
  <c r="H37" i="17" s="1"/>
  <c r="F37" i="17"/>
  <c r="S36" i="17"/>
  <c r="P36" i="17"/>
  <c r="M36" i="17"/>
  <c r="N36" i="17" s="1"/>
  <c r="I36" i="17"/>
  <c r="G36" i="17"/>
  <c r="H36" i="17" s="1"/>
  <c r="F36" i="17"/>
  <c r="S35" i="17"/>
  <c r="T35" i="17" s="1"/>
  <c r="P35" i="17"/>
  <c r="M35" i="17"/>
  <c r="N35" i="17" s="1"/>
  <c r="N38" i="17" s="1"/>
  <c r="I35" i="17"/>
  <c r="Q35" i="17" s="1"/>
  <c r="R35" i="17" s="1"/>
  <c r="G35" i="17"/>
  <c r="H35" i="17" s="1"/>
  <c r="F35" i="17"/>
  <c r="O34" i="17"/>
  <c r="G34" i="17"/>
  <c r="S33" i="17"/>
  <c r="P33" i="17"/>
  <c r="M33" i="17"/>
  <c r="N33" i="17" s="1"/>
  <c r="I33" i="17"/>
  <c r="J33" i="17" s="1"/>
  <c r="G33" i="17"/>
  <c r="K33" i="17" s="1"/>
  <c r="L33" i="17" s="1"/>
  <c r="F33" i="17"/>
  <c r="S32" i="17"/>
  <c r="T32" i="17" s="1"/>
  <c r="P32" i="17"/>
  <c r="N32" i="17"/>
  <c r="M32" i="17"/>
  <c r="I32" i="17"/>
  <c r="J32" i="17" s="1"/>
  <c r="G32" i="17"/>
  <c r="K32" i="17" s="1"/>
  <c r="L32" i="17" s="1"/>
  <c r="F32" i="17"/>
  <c r="S31" i="17"/>
  <c r="P31" i="17"/>
  <c r="M31" i="17"/>
  <c r="I31" i="17"/>
  <c r="J31" i="17" s="1"/>
  <c r="G31" i="17"/>
  <c r="K31" i="17" s="1"/>
  <c r="F31" i="17"/>
  <c r="H26" i="17"/>
  <c r="H25" i="17"/>
  <c r="T44" i="17" s="1"/>
  <c r="H24" i="17"/>
  <c r="H23" i="17"/>
  <c r="H22" i="17"/>
  <c r="H21" i="17"/>
  <c r="H20" i="17"/>
  <c r="T37" i="17" s="1"/>
  <c r="H19" i="17"/>
  <c r="H18" i="17"/>
  <c r="H17" i="17"/>
  <c r="H16" i="17"/>
  <c r="H15" i="17"/>
  <c r="Q32" i="17" l="1"/>
  <c r="R32" i="17" s="1"/>
  <c r="H39" i="17"/>
  <c r="M42" i="17"/>
  <c r="N39" i="17"/>
  <c r="N42" i="17" s="1"/>
  <c r="T41" i="17"/>
  <c r="H32" i="17"/>
  <c r="O47" i="17"/>
  <c r="P42" i="17"/>
  <c r="J46" i="17"/>
  <c r="S46" i="17"/>
  <c r="F42" i="17"/>
  <c r="T40" i="17"/>
  <c r="T36" i="17"/>
  <c r="M34" i="17"/>
  <c r="S42" i="17"/>
  <c r="H31" i="17"/>
  <c r="N31" i="17"/>
  <c r="N34" i="17" s="1"/>
  <c r="N47" i="17" s="1"/>
  <c r="H40" i="17"/>
  <c r="U40" i="17" s="1"/>
  <c r="W40" i="17" s="1"/>
  <c r="H41" i="17"/>
  <c r="H42" i="17" s="1"/>
  <c r="F46" i="17"/>
  <c r="Q37" i="17"/>
  <c r="R37" i="17" s="1"/>
  <c r="Q45" i="17"/>
  <c r="R45" i="17" s="1"/>
  <c r="H33" i="17"/>
  <c r="P34" i="17"/>
  <c r="I34" i="17"/>
  <c r="Q36" i="17"/>
  <c r="R36" i="17" s="1"/>
  <c r="R38" i="17" s="1"/>
  <c r="Q41" i="17"/>
  <c r="R41" i="17" s="1"/>
  <c r="P46" i="17"/>
  <c r="I42" i="17"/>
  <c r="Q42" i="17" s="1"/>
  <c r="J42" i="17"/>
  <c r="Q33" i="17"/>
  <c r="R33" i="17" s="1"/>
  <c r="F38" i="17"/>
  <c r="P38" i="17"/>
  <c r="Q40" i="17"/>
  <c r="R40" i="17" s="1"/>
  <c r="Q44" i="17"/>
  <c r="R44" i="17" s="1"/>
  <c r="Q31" i="17"/>
  <c r="R31" i="17" s="1"/>
  <c r="F34" i="17"/>
  <c r="J34" i="17"/>
  <c r="S34" i="17"/>
  <c r="T31" i="17"/>
  <c r="T38" i="17"/>
  <c r="H46" i="17"/>
  <c r="H38" i="17"/>
  <c r="T46" i="17"/>
  <c r="U32" i="17"/>
  <c r="W32" i="17" s="1"/>
  <c r="L31" i="17"/>
  <c r="L34" i="17" s="1"/>
  <c r="K34" i="17"/>
  <c r="T33" i="17"/>
  <c r="K42" i="17"/>
  <c r="L39" i="17"/>
  <c r="L42" i="17" s="1"/>
  <c r="N46" i="17"/>
  <c r="I38" i="17"/>
  <c r="Q38" i="17" s="1"/>
  <c r="M38" i="17"/>
  <c r="Q39" i="17"/>
  <c r="R39" i="17" s="1"/>
  <c r="R42" i="17" s="1"/>
  <c r="K43" i="17"/>
  <c r="K44" i="17"/>
  <c r="L44" i="17" s="1"/>
  <c r="K45" i="17"/>
  <c r="L45" i="17" s="1"/>
  <c r="U45" i="17" s="1"/>
  <c r="W45" i="17" s="1"/>
  <c r="J35" i="17"/>
  <c r="J36" i="17"/>
  <c r="J37" i="17"/>
  <c r="Q43" i="17"/>
  <c r="K35" i="17"/>
  <c r="K36" i="17"/>
  <c r="L36" i="17" s="1"/>
  <c r="K37" i="17"/>
  <c r="L37" i="17" s="1"/>
  <c r="I46" i="17"/>
  <c r="M46" i="17"/>
  <c r="T39" i="17"/>
  <c r="I47" i="17" l="1"/>
  <c r="H34" i="17"/>
  <c r="P47" i="17"/>
  <c r="S47" i="17"/>
  <c r="T42" i="17"/>
  <c r="U42" i="17"/>
  <c r="W42" i="17" s="1"/>
  <c r="M47" i="17"/>
  <c r="U41" i="17"/>
  <c r="W41" i="17" s="1"/>
  <c r="U33" i="17"/>
  <c r="W33" i="17" s="1"/>
  <c r="U36" i="17"/>
  <c r="W36" i="17" s="1"/>
  <c r="U37" i="17"/>
  <c r="W37" i="17" s="1"/>
  <c r="U44" i="17"/>
  <c r="W44" i="17" s="1"/>
  <c r="R34" i="17"/>
  <c r="L43" i="17"/>
  <c r="K46" i="17"/>
  <c r="U31" i="17"/>
  <c r="W31" i="17" s="1"/>
  <c r="Q34" i="17"/>
  <c r="F47" i="17"/>
  <c r="L35" i="17"/>
  <c r="L38" i="17" s="1"/>
  <c r="K38" i="17"/>
  <c r="K47" i="17" s="1"/>
  <c r="J38" i="17"/>
  <c r="J47" i="17" s="1"/>
  <c r="U39" i="17"/>
  <c r="W39" i="17" s="1"/>
  <c r="H47" i="17"/>
  <c r="T34" i="17"/>
  <c r="Q46" i="17"/>
  <c r="R43" i="17"/>
  <c r="R46" i="17" s="1"/>
  <c r="R47" i="17" s="1"/>
  <c r="T47" i="17" l="1"/>
  <c r="U38" i="17"/>
  <c r="W38" i="17" s="1"/>
  <c r="Q47" i="17"/>
  <c r="L46" i="17"/>
  <c r="U46" i="17" s="1"/>
  <c r="W46" i="17" s="1"/>
  <c r="U43" i="17"/>
  <c r="W43" i="17" s="1"/>
  <c r="U34" i="17"/>
  <c r="W34" i="17" s="1"/>
  <c r="U35" i="17"/>
  <c r="W35" i="17" s="1"/>
  <c r="L47" i="17" l="1"/>
  <c r="U47" i="17" s="1"/>
  <c r="W47" i="17" s="1"/>
  <c r="AU7" i="7" l="1"/>
  <c r="AV7" i="7"/>
  <c r="AT7" i="7"/>
  <c r="AR7" i="7"/>
  <c r="AS7" i="7"/>
  <c r="AQ7" i="7"/>
  <c r="AO7" i="7"/>
  <c r="AP7" i="7"/>
  <c r="AN7" i="7"/>
  <c r="AL7" i="7"/>
  <c r="AM7" i="7"/>
  <c r="AK7" i="7"/>
  <c r="K31" i="7"/>
  <c r="K30" i="7"/>
  <c r="J31" i="7"/>
  <c r="J30" i="7"/>
  <c r="I31" i="7"/>
  <c r="I30" i="7"/>
  <c r="H31" i="7"/>
  <c r="H30" i="7"/>
  <c r="G31" i="7"/>
  <c r="G30" i="7"/>
  <c r="F31" i="7"/>
  <c r="F30" i="7"/>
  <c r="E31" i="7"/>
  <c r="E30" i="7"/>
  <c r="D31" i="7"/>
  <c r="D30" i="7"/>
  <c r="C31" i="7"/>
  <c r="C30" i="7"/>
  <c r="M31" i="7"/>
  <c r="L31" i="7"/>
  <c r="M30" i="7"/>
  <c r="L30" i="7"/>
  <c r="B31" i="7"/>
  <c r="B30" i="7"/>
  <c r="F10" i="8"/>
  <c r="J10" i="8" s="1"/>
  <c r="N10" i="8" s="1"/>
  <c r="R10" i="8" s="1"/>
  <c r="V10" i="8" s="1"/>
  <c r="Z10" i="8" s="1"/>
  <c r="E10" i="8"/>
  <c r="I10" i="8" s="1"/>
  <c r="M10" i="8" s="1"/>
  <c r="Q10" i="8" s="1"/>
  <c r="U10" i="8" s="1"/>
  <c r="Y10" i="8" s="1"/>
  <c r="D10" i="8"/>
  <c r="H10" i="8" s="1"/>
  <c r="L10" i="8" s="1"/>
  <c r="P10" i="8" s="1"/>
  <c r="T10" i="8" s="1"/>
  <c r="X10" i="8" s="1"/>
  <c r="C10" i="8"/>
  <c r="G10" i="8" s="1"/>
  <c r="K10" i="8" s="1"/>
  <c r="O10" i="8" s="1"/>
  <c r="S10" i="8" s="1"/>
  <c r="W10" i="8" s="1"/>
  <c r="L11" i="7"/>
  <c r="K11" i="7"/>
  <c r="J11" i="7"/>
  <c r="G11" i="7"/>
  <c r="C11" i="7"/>
  <c r="A11" i="7"/>
  <c r="T8" i="13"/>
  <c r="B11" i="7" s="1"/>
  <c r="T9" i="13"/>
  <c r="T11" i="13"/>
  <c r="D11" i="7" s="1"/>
  <c r="T12" i="13"/>
  <c r="E11" i="7" s="1"/>
  <c r="T13" i="13"/>
  <c r="F11" i="7" s="1"/>
  <c r="T16" i="13"/>
  <c r="T17" i="13"/>
  <c r="H11" i="7" s="1"/>
  <c r="T18" i="13"/>
  <c r="I11" i="7" s="1"/>
  <c r="T21" i="13"/>
  <c r="T22" i="13"/>
  <c r="T23" i="13"/>
  <c r="T7" i="13"/>
  <c r="E25" i="13"/>
  <c r="Q24" i="13"/>
  <c r="P24" i="13"/>
  <c r="O24" i="13"/>
  <c r="N24" i="13"/>
  <c r="M24" i="13"/>
  <c r="K24" i="13"/>
  <c r="J24" i="13"/>
  <c r="I24" i="13"/>
  <c r="H24" i="13"/>
  <c r="G24" i="13"/>
  <c r="T24" i="13" s="1"/>
  <c r="E24" i="13"/>
  <c r="L23" i="13"/>
  <c r="E23" i="13"/>
  <c r="L22" i="13"/>
  <c r="E22" i="13"/>
  <c r="L21" i="13"/>
  <c r="L24" i="13" s="1"/>
  <c r="E21" i="13"/>
  <c r="E20" i="13"/>
  <c r="Q19" i="13"/>
  <c r="P19" i="13"/>
  <c r="O19" i="13"/>
  <c r="N19" i="13"/>
  <c r="M19" i="13"/>
  <c r="K19" i="13"/>
  <c r="J19" i="13"/>
  <c r="I19" i="13"/>
  <c r="H19" i="13"/>
  <c r="G19" i="13"/>
  <c r="T19" i="13" s="1"/>
  <c r="E19" i="13"/>
  <c r="L18" i="13"/>
  <c r="E18" i="13"/>
  <c r="L17" i="13"/>
  <c r="E17" i="13"/>
  <c r="L16" i="13"/>
  <c r="L19" i="13" s="1"/>
  <c r="E16" i="13"/>
  <c r="E15" i="13"/>
  <c r="Q14" i="13"/>
  <c r="P14" i="13"/>
  <c r="O14" i="13"/>
  <c r="N14" i="13"/>
  <c r="M14" i="13"/>
  <c r="K14" i="13"/>
  <c r="J14" i="13"/>
  <c r="I14" i="13"/>
  <c r="H14" i="13"/>
  <c r="G14" i="13"/>
  <c r="T14" i="13" s="1"/>
  <c r="E14" i="13"/>
  <c r="L13" i="13"/>
  <c r="E13" i="13"/>
  <c r="L12" i="13"/>
  <c r="E12" i="13"/>
  <c r="L11" i="13"/>
  <c r="L14" i="13" s="1"/>
  <c r="E11" i="13"/>
  <c r="Q10" i="13"/>
  <c r="P10" i="13"/>
  <c r="O10" i="13"/>
  <c r="O25" i="13" s="1"/>
  <c r="N10" i="13"/>
  <c r="M10" i="13"/>
  <c r="L10" i="13"/>
  <c r="K10" i="13"/>
  <c r="J10" i="13"/>
  <c r="I10" i="13"/>
  <c r="H10" i="13"/>
  <c r="G10" i="13"/>
  <c r="T10" i="13" s="1"/>
  <c r="E10" i="13"/>
  <c r="L9" i="13"/>
  <c r="E9" i="13"/>
  <c r="L8" i="13"/>
  <c r="E8" i="13"/>
  <c r="L7" i="13"/>
  <c r="E7" i="13"/>
  <c r="M25" i="13" l="1"/>
  <c r="N15" i="13"/>
  <c r="N20" i="13" s="1"/>
  <c r="Q25" i="13"/>
  <c r="M15" i="13"/>
  <c r="M20" i="13" s="1"/>
  <c r="H25" i="13"/>
  <c r="I25" i="13"/>
  <c r="J25" i="13"/>
  <c r="P25" i="13"/>
  <c r="G25" i="13"/>
  <c r="T25" i="13" s="1"/>
  <c r="O15" i="13"/>
  <c r="O20" i="13" s="1"/>
  <c r="K25" i="13"/>
  <c r="J15" i="13"/>
  <c r="J20" i="13" s="1"/>
  <c r="N25" i="13"/>
  <c r="G15" i="13"/>
  <c r="K15" i="13"/>
  <c r="K20" i="13" s="1"/>
  <c r="Q15" i="13"/>
  <c r="Q20" i="13" s="1"/>
  <c r="H15" i="13"/>
  <c r="H20" i="13" s="1"/>
  <c r="I15" i="13"/>
  <c r="I20" i="13" s="1"/>
  <c r="G20" i="13" l="1"/>
  <c r="T20" i="13" s="1"/>
  <c r="T15" i="13"/>
  <c r="L25" i="13"/>
  <c r="R31" i="12" l="1"/>
  <c r="N31" i="12"/>
  <c r="J31" i="12"/>
  <c r="F31" i="12"/>
  <c r="S31" i="12" s="1"/>
  <c r="R30" i="12"/>
  <c r="N30" i="12"/>
  <c r="J30" i="12"/>
  <c r="F30" i="12"/>
  <c r="R29" i="12"/>
  <c r="N29" i="12"/>
  <c r="J29" i="12"/>
  <c r="F29" i="12"/>
  <c r="Q27" i="12"/>
  <c r="P27" i="12"/>
  <c r="O27" i="12"/>
  <c r="M27" i="12"/>
  <c r="L27" i="12"/>
  <c r="K27" i="12"/>
  <c r="I27" i="12"/>
  <c r="H27" i="12"/>
  <c r="G27" i="12"/>
  <c r="E27" i="12"/>
  <c r="D27" i="12"/>
  <c r="C27" i="12"/>
  <c r="Q26" i="12"/>
  <c r="P26" i="12"/>
  <c r="O26" i="12"/>
  <c r="N26" i="12"/>
  <c r="M26" i="12"/>
  <c r="L26" i="12"/>
  <c r="K26" i="12"/>
  <c r="I26" i="12"/>
  <c r="H26" i="12"/>
  <c r="G26" i="12"/>
  <c r="E26" i="12"/>
  <c r="D26" i="12"/>
  <c r="C26" i="12"/>
  <c r="Q25" i="12"/>
  <c r="P25" i="12"/>
  <c r="O25" i="12"/>
  <c r="M25" i="12"/>
  <c r="L25" i="12"/>
  <c r="K25" i="12"/>
  <c r="I25" i="12"/>
  <c r="H25" i="12"/>
  <c r="G25" i="12"/>
  <c r="E25" i="12"/>
  <c r="D25" i="12"/>
  <c r="C25" i="12"/>
  <c r="Q24" i="12"/>
  <c r="P24" i="12"/>
  <c r="O24" i="12"/>
  <c r="M24" i="12"/>
  <c r="L24" i="12"/>
  <c r="K24" i="12"/>
  <c r="I24" i="12"/>
  <c r="H24" i="12"/>
  <c r="G24" i="12"/>
  <c r="G28" i="12" s="1"/>
  <c r="E24" i="12"/>
  <c r="D24" i="12"/>
  <c r="C24" i="12"/>
  <c r="Q23" i="12"/>
  <c r="P23" i="12"/>
  <c r="O23" i="12"/>
  <c r="M23" i="12"/>
  <c r="L23" i="12"/>
  <c r="K23" i="12"/>
  <c r="I23" i="12"/>
  <c r="H23" i="12"/>
  <c r="G23" i="12"/>
  <c r="E23" i="12"/>
  <c r="D23" i="12"/>
  <c r="C23" i="12"/>
  <c r="R22" i="12"/>
  <c r="N22" i="12"/>
  <c r="J22" i="12"/>
  <c r="F22" i="12"/>
  <c r="S22" i="12" s="1"/>
  <c r="R21" i="12"/>
  <c r="N21" i="12"/>
  <c r="J21" i="12"/>
  <c r="F21" i="12"/>
  <c r="R20" i="12"/>
  <c r="N20" i="12"/>
  <c r="J20" i="12"/>
  <c r="F20" i="12"/>
  <c r="R19" i="12"/>
  <c r="N19" i="12"/>
  <c r="J19" i="12"/>
  <c r="F19" i="12"/>
  <c r="R17" i="12"/>
  <c r="N17" i="12"/>
  <c r="J17" i="12"/>
  <c r="F17" i="12"/>
  <c r="S17" i="12" s="1"/>
  <c r="R16" i="12"/>
  <c r="N16" i="12"/>
  <c r="J16" i="12"/>
  <c r="F16" i="12"/>
  <c r="S16" i="12" s="1"/>
  <c r="R15" i="12"/>
  <c r="N15" i="12"/>
  <c r="J15" i="12"/>
  <c r="F15" i="12"/>
  <c r="R14" i="12"/>
  <c r="N14" i="12"/>
  <c r="J14" i="12"/>
  <c r="F14" i="12"/>
  <c r="Q13" i="12"/>
  <c r="P13" i="12"/>
  <c r="O13" i="12"/>
  <c r="M13" i="12"/>
  <c r="L13" i="12"/>
  <c r="K13" i="12"/>
  <c r="I13" i="12"/>
  <c r="H13" i="12"/>
  <c r="G13" i="12"/>
  <c r="E13" i="12"/>
  <c r="D13" i="12"/>
  <c r="C13" i="12"/>
  <c r="R12" i="12"/>
  <c r="N12" i="12"/>
  <c r="J12" i="12"/>
  <c r="F12" i="12"/>
  <c r="R11" i="12"/>
  <c r="N11" i="12"/>
  <c r="J11" i="12"/>
  <c r="F11" i="12"/>
  <c r="R10" i="12"/>
  <c r="N10" i="12"/>
  <c r="J10" i="12"/>
  <c r="F10" i="12"/>
  <c r="R9" i="12"/>
  <c r="N9" i="12"/>
  <c r="J9" i="12"/>
  <c r="F9" i="12"/>
  <c r="S9" i="12" s="1"/>
  <c r="R7" i="12"/>
  <c r="N7" i="12"/>
  <c r="N27" i="12" s="1"/>
  <c r="J7" i="12"/>
  <c r="J27" i="12" s="1"/>
  <c r="F7" i="12"/>
  <c r="S7" i="12" s="1"/>
  <c r="R6" i="12"/>
  <c r="R26" i="12" s="1"/>
  <c r="N6" i="12"/>
  <c r="J6" i="12"/>
  <c r="J26" i="12" s="1"/>
  <c r="F6" i="12"/>
  <c r="F26" i="12" s="1"/>
  <c r="R5" i="12"/>
  <c r="N5" i="12"/>
  <c r="J5" i="12"/>
  <c r="F5" i="12"/>
  <c r="F25" i="12" s="1"/>
  <c r="R4" i="12"/>
  <c r="R24" i="12" s="1"/>
  <c r="N4" i="12"/>
  <c r="N24" i="12" s="1"/>
  <c r="J4" i="12"/>
  <c r="J24" i="12" s="1"/>
  <c r="F4" i="12"/>
  <c r="AD34" i="9"/>
  <c r="AD7" i="7" s="1"/>
  <c r="AD28" i="9"/>
  <c r="Y7" i="7" s="1"/>
  <c r="Y11" i="7"/>
  <c r="D40" i="11"/>
  <c r="J39" i="11"/>
  <c r="C37" i="11"/>
  <c r="B37" i="11"/>
  <c r="I36" i="11"/>
  <c r="H36" i="11"/>
  <c r="E36" i="11" s="1"/>
  <c r="G36" i="11"/>
  <c r="F36" i="11"/>
  <c r="C36" i="11"/>
  <c r="B36" i="11"/>
  <c r="C34" i="11"/>
  <c r="B34" i="11"/>
  <c r="I33" i="11"/>
  <c r="H33" i="11"/>
  <c r="G33" i="11"/>
  <c r="F33" i="11"/>
  <c r="C33" i="11"/>
  <c r="B33" i="11"/>
  <c r="C31" i="11"/>
  <c r="B31" i="11"/>
  <c r="I30" i="11"/>
  <c r="H30" i="11"/>
  <c r="G30" i="11"/>
  <c r="F30" i="11"/>
  <c r="E30" i="11"/>
  <c r="C30" i="11"/>
  <c r="B30" i="11"/>
  <c r="C28" i="11"/>
  <c r="B28" i="11"/>
  <c r="I27" i="11"/>
  <c r="H27" i="11"/>
  <c r="G27" i="11"/>
  <c r="F27" i="11"/>
  <c r="C27" i="11"/>
  <c r="B27" i="11"/>
  <c r="C25" i="11"/>
  <c r="B25" i="11"/>
  <c r="I24" i="11"/>
  <c r="H24" i="11"/>
  <c r="G24" i="11"/>
  <c r="F24" i="11"/>
  <c r="C24" i="11"/>
  <c r="B24" i="11"/>
  <c r="B26" i="11" s="1"/>
  <c r="B23" i="11"/>
  <c r="M21" i="11"/>
  <c r="G37" i="11" s="1"/>
  <c r="I21" i="11"/>
  <c r="H21" i="11"/>
  <c r="G21" i="11"/>
  <c r="F21" i="11"/>
  <c r="C21" i="11"/>
  <c r="C23" i="11" s="1"/>
  <c r="B21" i="11"/>
  <c r="M20" i="11"/>
  <c r="F34" i="11" s="1"/>
  <c r="M19" i="11"/>
  <c r="G31" i="11" s="1"/>
  <c r="F19" i="11"/>
  <c r="C19" i="11"/>
  <c r="B19" i="11"/>
  <c r="M18" i="11"/>
  <c r="F28" i="11" s="1"/>
  <c r="I18" i="11"/>
  <c r="H18" i="11"/>
  <c r="G18" i="11"/>
  <c r="F18" i="11"/>
  <c r="C18" i="11"/>
  <c r="C20" i="11" s="1"/>
  <c r="B18" i="11"/>
  <c r="M17" i="11"/>
  <c r="G25" i="11" s="1"/>
  <c r="M16" i="11"/>
  <c r="F22" i="11" s="1"/>
  <c r="C16" i="11"/>
  <c r="B16" i="11"/>
  <c r="M15" i="11"/>
  <c r="I19" i="11" s="1"/>
  <c r="I15" i="11"/>
  <c r="H15" i="11"/>
  <c r="G15" i="11"/>
  <c r="F15" i="11"/>
  <c r="C15" i="11"/>
  <c r="C17" i="11" s="1"/>
  <c r="B15" i="11"/>
  <c r="M14" i="11"/>
  <c r="I16" i="11" s="1"/>
  <c r="M13" i="11"/>
  <c r="F13" i="11" s="1"/>
  <c r="H13" i="11"/>
  <c r="C13" i="11"/>
  <c r="B13" i="11"/>
  <c r="M12" i="11"/>
  <c r="I10" i="11" s="1"/>
  <c r="I11" i="11" s="1"/>
  <c r="I12" i="11"/>
  <c r="E12" i="11" s="1"/>
  <c r="H12" i="11"/>
  <c r="G12" i="11"/>
  <c r="F12" i="11"/>
  <c r="C12" i="11"/>
  <c r="B12" i="11"/>
  <c r="B14" i="11" s="1"/>
  <c r="M11" i="11"/>
  <c r="I7" i="11" s="1"/>
  <c r="D11" i="11"/>
  <c r="M10" i="11"/>
  <c r="G4" i="11" s="1"/>
  <c r="C10" i="11"/>
  <c r="B10" i="11"/>
  <c r="I9" i="11"/>
  <c r="H9" i="11"/>
  <c r="G9" i="11"/>
  <c r="F9" i="11"/>
  <c r="E9" i="11" s="1"/>
  <c r="C9" i="11"/>
  <c r="B9" i="11"/>
  <c r="D8" i="11"/>
  <c r="F7" i="11"/>
  <c r="C7" i="11"/>
  <c r="B7" i="11"/>
  <c r="J7" i="11" s="1"/>
  <c r="I6" i="11"/>
  <c r="H6" i="11"/>
  <c r="G6" i="11"/>
  <c r="E6" i="11" s="1"/>
  <c r="F6" i="11"/>
  <c r="C6" i="11"/>
  <c r="C8" i="11" s="1"/>
  <c r="B6" i="11"/>
  <c r="J4" i="11"/>
  <c r="I3" i="11"/>
  <c r="H3" i="11"/>
  <c r="G3" i="11"/>
  <c r="F3" i="11"/>
  <c r="C3" i="11"/>
  <c r="B3" i="11"/>
  <c r="U30" i="10"/>
  <c r="U29" i="10"/>
  <c r="R29" i="10"/>
  <c r="Q29" i="10"/>
  <c r="U28" i="10"/>
  <c r="J28" i="10"/>
  <c r="F28" i="10"/>
  <c r="B28" i="10"/>
  <c r="U27" i="10"/>
  <c r="J27" i="10"/>
  <c r="F27" i="10"/>
  <c r="G27" i="10" s="1"/>
  <c r="B27" i="10"/>
  <c r="C27" i="10" s="1"/>
  <c r="U26" i="10"/>
  <c r="J26" i="10"/>
  <c r="F26" i="10"/>
  <c r="G26" i="10" s="1"/>
  <c r="C26" i="10"/>
  <c r="B26" i="10"/>
  <c r="U25" i="10"/>
  <c r="R25" i="10"/>
  <c r="Q25" i="10"/>
  <c r="U24" i="10"/>
  <c r="J24" i="10"/>
  <c r="F24" i="10"/>
  <c r="B24" i="10"/>
  <c r="U23" i="10"/>
  <c r="J23" i="10"/>
  <c r="F23" i="10"/>
  <c r="G23" i="10" s="1"/>
  <c r="B23" i="10"/>
  <c r="C23" i="10" s="1"/>
  <c r="U22" i="10"/>
  <c r="J22" i="10"/>
  <c r="F22" i="10"/>
  <c r="G22" i="10" s="1"/>
  <c r="C22" i="10"/>
  <c r="B22" i="10"/>
  <c r="U21" i="10"/>
  <c r="R21" i="10"/>
  <c r="Q21" i="10"/>
  <c r="P21" i="10"/>
  <c r="U20" i="10"/>
  <c r="L20" i="10"/>
  <c r="J20" i="10"/>
  <c r="K20" i="10" s="1"/>
  <c r="F20" i="10"/>
  <c r="I20" i="10" s="1"/>
  <c r="B20" i="10"/>
  <c r="E20" i="10" s="1"/>
  <c r="U19" i="10"/>
  <c r="L19" i="10"/>
  <c r="J19" i="10"/>
  <c r="K19" i="10" s="1"/>
  <c r="F19" i="10"/>
  <c r="G19" i="10" s="1"/>
  <c r="D19" i="10"/>
  <c r="B19" i="10"/>
  <c r="C19" i="10" s="1"/>
  <c r="U18" i="10"/>
  <c r="P18" i="10"/>
  <c r="L18" i="10"/>
  <c r="J18" i="10"/>
  <c r="F18" i="10"/>
  <c r="F21" i="10" s="1"/>
  <c r="B18" i="10"/>
  <c r="U17" i="10"/>
  <c r="R17" i="10"/>
  <c r="Q17" i="10"/>
  <c r="P17" i="10"/>
  <c r="U16" i="10"/>
  <c r="L16" i="10"/>
  <c r="J16" i="10"/>
  <c r="K16" i="10" s="1"/>
  <c r="F16" i="10"/>
  <c r="B16" i="10"/>
  <c r="U15" i="10"/>
  <c r="L15" i="10"/>
  <c r="J15" i="10"/>
  <c r="K15" i="10" s="1"/>
  <c r="F15" i="10"/>
  <c r="G15" i="10" s="1"/>
  <c r="B15" i="10"/>
  <c r="C15" i="10" s="1"/>
  <c r="U14" i="10"/>
  <c r="P14" i="10"/>
  <c r="L14" i="10"/>
  <c r="K14" i="10"/>
  <c r="F14" i="10"/>
  <c r="B14" i="10"/>
  <c r="E10" i="10"/>
  <c r="P26" i="10" s="1"/>
  <c r="P29" i="10" s="1"/>
  <c r="E9" i="10"/>
  <c r="I26" i="10" s="1"/>
  <c r="E8" i="10"/>
  <c r="E7" i="10"/>
  <c r="E6" i="10"/>
  <c r="E5" i="10"/>
  <c r="AB42" i="9"/>
  <c r="Z42" i="9"/>
  <c r="X42" i="9"/>
  <c r="V42" i="9"/>
  <c r="AD42" i="9" s="1"/>
  <c r="AJ7" i="7" s="1"/>
  <c r="S42" i="9"/>
  <c r="AJ11" i="7" s="1"/>
  <c r="P42" i="9"/>
  <c r="N42" i="9"/>
  <c r="O42" i="9" s="1"/>
  <c r="L42" i="9"/>
  <c r="J42" i="9"/>
  <c r="K42" i="9" s="1"/>
  <c r="H42" i="9"/>
  <c r="F42" i="9"/>
  <c r="D42" i="9"/>
  <c r="B42" i="9"/>
  <c r="AB41" i="9"/>
  <c r="AC41" i="9" s="1"/>
  <c r="Z41" i="9"/>
  <c r="X41" i="9"/>
  <c r="V41" i="9"/>
  <c r="S41" i="9"/>
  <c r="T41" i="9" s="1"/>
  <c r="P41" i="9"/>
  <c r="N41" i="9"/>
  <c r="L41" i="9"/>
  <c r="J41" i="9"/>
  <c r="H41" i="9"/>
  <c r="F41" i="9"/>
  <c r="D41" i="9"/>
  <c r="B41" i="9"/>
  <c r="AB40" i="9"/>
  <c r="Z40" i="9"/>
  <c r="X40" i="9"/>
  <c r="AD40" i="9" s="1"/>
  <c r="AH7" i="7" s="1"/>
  <c r="V40" i="9"/>
  <c r="S40" i="9"/>
  <c r="AH11" i="7" s="1"/>
  <c r="P40" i="9"/>
  <c r="N40" i="9"/>
  <c r="O40" i="9" s="1"/>
  <c r="L40" i="9"/>
  <c r="J40" i="9"/>
  <c r="K40" i="9" s="1"/>
  <c r="H40" i="9"/>
  <c r="I40" i="9" s="1"/>
  <c r="F40" i="9"/>
  <c r="D40" i="9"/>
  <c r="E40" i="9" s="1"/>
  <c r="B40" i="9"/>
  <c r="AB38" i="9"/>
  <c r="Z38" i="9"/>
  <c r="X38" i="9"/>
  <c r="V38" i="9"/>
  <c r="AD38" i="9" s="1"/>
  <c r="AG7" i="7" s="1"/>
  <c r="S38" i="9"/>
  <c r="P38" i="9"/>
  <c r="N38" i="9"/>
  <c r="O38" i="9" s="1"/>
  <c r="L38" i="9"/>
  <c r="J38" i="9"/>
  <c r="K38" i="9" s="1"/>
  <c r="H38" i="9"/>
  <c r="F38" i="9"/>
  <c r="D38" i="9"/>
  <c r="B38" i="9"/>
  <c r="AB37" i="9"/>
  <c r="AC37" i="9" s="1"/>
  <c r="Z37" i="9"/>
  <c r="X37" i="9"/>
  <c r="V37" i="9"/>
  <c r="S37" i="9"/>
  <c r="T37" i="9" s="1"/>
  <c r="P37" i="9"/>
  <c r="N37" i="9"/>
  <c r="O37" i="9" s="1"/>
  <c r="L37" i="9"/>
  <c r="J37" i="9"/>
  <c r="H37" i="9"/>
  <c r="F37" i="9"/>
  <c r="D37" i="9"/>
  <c r="B37" i="9"/>
  <c r="AB36" i="9"/>
  <c r="Z36" i="9"/>
  <c r="X36" i="9"/>
  <c r="V36" i="9"/>
  <c r="AD36" i="9" s="1"/>
  <c r="AE7" i="7" s="1"/>
  <c r="S36" i="9"/>
  <c r="AE11" i="7" s="1"/>
  <c r="P36" i="9"/>
  <c r="N36" i="9"/>
  <c r="L36" i="9"/>
  <c r="J36" i="9"/>
  <c r="H36" i="9"/>
  <c r="I36" i="9" s="1"/>
  <c r="F36" i="9"/>
  <c r="D36" i="9"/>
  <c r="E36" i="9" s="1"/>
  <c r="B36" i="9"/>
  <c r="AB34" i="9"/>
  <c r="AC34" i="9" s="1"/>
  <c r="Z34" i="9"/>
  <c r="AA34" i="9" s="1"/>
  <c r="X34" i="9"/>
  <c r="Y34" i="9" s="1"/>
  <c r="V34" i="9"/>
  <c r="W34" i="9" s="1"/>
  <c r="S34" i="9"/>
  <c r="T34" i="9" s="1"/>
  <c r="P34" i="9"/>
  <c r="Q34" i="9" s="1"/>
  <c r="N34" i="9"/>
  <c r="O34" i="9" s="1"/>
  <c r="L34" i="9"/>
  <c r="M34" i="9" s="1"/>
  <c r="J34" i="9"/>
  <c r="K34" i="9" s="1"/>
  <c r="H34" i="9"/>
  <c r="I34" i="9" s="1"/>
  <c r="F34" i="9"/>
  <c r="G34" i="9" s="1"/>
  <c r="D34" i="9"/>
  <c r="E34" i="9" s="1"/>
  <c r="B34" i="9"/>
  <c r="C34" i="9" s="1"/>
  <c r="AB33" i="9"/>
  <c r="AC33" i="9" s="1"/>
  <c r="Z33" i="9"/>
  <c r="AA33" i="9" s="1"/>
  <c r="X33" i="9"/>
  <c r="Y33" i="9" s="1"/>
  <c r="V33" i="9"/>
  <c r="W33" i="9" s="1"/>
  <c r="S33" i="9"/>
  <c r="T33" i="9" s="1"/>
  <c r="Q33" i="9"/>
  <c r="P33" i="9"/>
  <c r="N33" i="9"/>
  <c r="O33" i="9" s="1"/>
  <c r="L33" i="9"/>
  <c r="M33" i="9" s="1"/>
  <c r="J33" i="9"/>
  <c r="K33" i="9" s="1"/>
  <c r="H33" i="9"/>
  <c r="I33" i="9" s="1"/>
  <c r="F33" i="9"/>
  <c r="G33" i="9" s="1"/>
  <c r="D33" i="9"/>
  <c r="E33" i="9" s="1"/>
  <c r="B33" i="9"/>
  <c r="C33" i="9" s="1"/>
  <c r="AB32" i="9"/>
  <c r="AD32" i="9" s="1"/>
  <c r="AB7" i="7" s="1"/>
  <c r="Z32" i="9"/>
  <c r="X32" i="9"/>
  <c r="V32" i="9"/>
  <c r="S32" i="9"/>
  <c r="T32" i="9" s="1"/>
  <c r="Q32" i="9"/>
  <c r="P32" i="9"/>
  <c r="N32" i="9"/>
  <c r="O32" i="9" s="1"/>
  <c r="L32" i="9"/>
  <c r="J32" i="9"/>
  <c r="K32" i="9" s="1"/>
  <c r="I32" i="9"/>
  <c r="H32" i="9"/>
  <c r="F32" i="9"/>
  <c r="G32" i="9" s="1"/>
  <c r="D32" i="9"/>
  <c r="E32" i="9" s="1"/>
  <c r="B32" i="9"/>
  <c r="C32" i="9" s="1"/>
  <c r="AB30" i="9"/>
  <c r="AC30" i="9" s="1"/>
  <c r="Z30" i="9"/>
  <c r="AA30" i="9" s="1"/>
  <c r="X30" i="9"/>
  <c r="Y30" i="9" s="1"/>
  <c r="V30" i="9"/>
  <c r="W30" i="9" s="1"/>
  <c r="S30" i="9"/>
  <c r="T30" i="9" s="1"/>
  <c r="P30" i="9"/>
  <c r="P31" i="9" s="1"/>
  <c r="P35" i="9" s="1"/>
  <c r="N30" i="9"/>
  <c r="O30" i="9" s="1"/>
  <c r="L30" i="9"/>
  <c r="M30" i="9" s="1"/>
  <c r="J30" i="9"/>
  <c r="K30" i="9" s="1"/>
  <c r="H30" i="9"/>
  <c r="I30" i="9" s="1"/>
  <c r="F30" i="9"/>
  <c r="G30" i="9" s="1"/>
  <c r="D30" i="9"/>
  <c r="E30" i="9" s="1"/>
  <c r="B30" i="9"/>
  <c r="C30" i="9" s="1"/>
  <c r="AB29" i="9"/>
  <c r="AC29" i="9" s="1"/>
  <c r="Z29" i="9"/>
  <c r="AA29" i="9" s="1"/>
  <c r="X29" i="9"/>
  <c r="Y29" i="9" s="1"/>
  <c r="V29" i="9"/>
  <c r="W29" i="9" s="1"/>
  <c r="S29" i="9"/>
  <c r="T29" i="9" s="1"/>
  <c r="P29" i="9"/>
  <c r="Q29" i="9" s="1"/>
  <c r="N29" i="9"/>
  <c r="O29" i="9" s="1"/>
  <c r="L29" i="9"/>
  <c r="M29" i="9" s="1"/>
  <c r="J29" i="9"/>
  <c r="K29" i="9" s="1"/>
  <c r="H29" i="9"/>
  <c r="I29" i="9" s="1"/>
  <c r="F29" i="9"/>
  <c r="G29" i="9" s="1"/>
  <c r="D29" i="9"/>
  <c r="E29" i="9" s="1"/>
  <c r="B29" i="9"/>
  <c r="C29" i="9" s="1"/>
  <c r="AB28" i="9"/>
  <c r="Z28" i="9"/>
  <c r="AA28" i="9" s="1"/>
  <c r="X28" i="9"/>
  <c r="V28" i="9"/>
  <c r="W28" i="9" s="1"/>
  <c r="S28" i="9"/>
  <c r="P28" i="9"/>
  <c r="Q28" i="9" s="1"/>
  <c r="N28" i="9"/>
  <c r="N31" i="9" s="1"/>
  <c r="N35" i="9" s="1"/>
  <c r="L28" i="9"/>
  <c r="J28" i="9"/>
  <c r="H28" i="9"/>
  <c r="I28" i="9" s="1"/>
  <c r="F28" i="9"/>
  <c r="F31" i="9" s="1"/>
  <c r="D28" i="9"/>
  <c r="E28" i="9" s="1"/>
  <c r="B28" i="9"/>
  <c r="F22" i="9"/>
  <c r="F21" i="9"/>
  <c r="F20" i="9"/>
  <c r="Y38" i="9" s="1"/>
  <c r="F19" i="9"/>
  <c r="F17" i="9"/>
  <c r="T42" i="9" s="1"/>
  <c r="F16" i="9"/>
  <c r="F15" i="9"/>
  <c r="F14" i="9"/>
  <c r="F11" i="9"/>
  <c r="F10" i="9"/>
  <c r="F23" i="8" s="1"/>
  <c r="J23" i="8" s="1"/>
  <c r="N23" i="8" s="1"/>
  <c r="R23" i="8" s="1"/>
  <c r="V23" i="8" s="1"/>
  <c r="Z23" i="8" s="1"/>
  <c r="F9" i="9"/>
  <c r="E23" i="8" s="1"/>
  <c r="I23" i="8" s="1"/>
  <c r="M23" i="8" s="1"/>
  <c r="Q23" i="8" s="1"/>
  <c r="U23" i="8" s="1"/>
  <c r="Y23" i="8" s="1"/>
  <c r="F8" i="9"/>
  <c r="F7" i="9"/>
  <c r="C23" i="8" s="1"/>
  <c r="G23" i="8" s="1"/>
  <c r="K23" i="8" s="1"/>
  <c r="O23" i="8" s="1"/>
  <c r="S23" i="8" s="1"/>
  <c r="W23" i="8" s="1"/>
  <c r="AC34" i="7"/>
  <c r="F16" i="7"/>
  <c r="AP14" i="7"/>
  <c r="F14" i="7"/>
  <c r="G5" i="11" l="1"/>
  <c r="C12" i="8"/>
  <c r="G18" i="10"/>
  <c r="F4" i="11"/>
  <c r="G38" i="11"/>
  <c r="W25" i="8"/>
  <c r="H28" i="12"/>
  <c r="D15" i="10"/>
  <c r="N15" i="10" s="1"/>
  <c r="I40" i="11"/>
  <c r="G32" i="11"/>
  <c r="O25" i="8"/>
  <c r="I28" i="12"/>
  <c r="S30" i="12"/>
  <c r="C37" i="9"/>
  <c r="Q38" i="9"/>
  <c r="C41" i="9"/>
  <c r="C43" i="9" s="1"/>
  <c r="Y41" i="9"/>
  <c r="Q42" i="9"/>
  <c r="J21" i="10"/>
  <c r="L21" i="10"/>
  <c r="H4" i="11"/>
  <c r="I25" i="11"/>
  <c r="B32" i="11"/>
  <c r="H31" i="11"/>
  <c r="S11" i="12"/>
  <c r="S14" i="12"/>
  <c r="S20" i="12"/>
  <c r="K28" i="12"/>
  <c r="AA37" i="9"/>
  <c r="T38" i="9"/>
  <c r="AA41" i="9"/>
  <c r="H15" i="10"/>
  <c r="Q30" i="10"/>
  <c r="K18" i="10"/>
  <c r="K21" i="10" s="1"/>
  <c r="B25" i="10"/>
  <c r="H23" i="10"/>
  <c r="B29" i="10"/>
  <c r="H27" i="10"/>
  <c r="I4" i="11"/>
  <c r="J10" i="11"/>
  <c r="I8" i="11"/>
  <c r="G14" i="8"/>
  <c r="K14" i="8"/>
  <c r="G13" i="11"/>
  <c r="E18" i="11"/>
  <c r="J18" i="11" s="1"/>
  <c r="F35" i="11"/>
  <c r="S24" i="8"/>
  <c r="C26" i="11"/>
  <c r="C32" i="11"/>
  <c r="I31" i="11"/>
  <c r="G34" i="11"/>
  <c r="D37" i="11"/>
  <c r="D38" i="11" s="1"/>
  <c r="J25" i="12"/>
  <c r="J28" i="12" s="1"/>
  <c r="J34" i="12" s="1"/>
  <c r="R27" i="12"/>
  <c r="J23" i="12"/>
  <c r="L28" i="12"/>
  <c r="Q36" i="9"/>
  <c r="E38" i="9"/>
  <c r="K41" i="9"/>
  <c r="E42" i="9"/>
  <c r="AA42" i="9"/>
  <c r="B21" i="10"/>
  <c r="E24" i="10"/>
  <c r="E28" i="10"/>
  <c r="E3" i="11"/>
  <c r="G10" i="11"/>
  <c r="E21" i="11"/>
  <c r="J21" i="11" s="1"/>
  <c r="E27" i="11"/>
  <c r="C35" i="11"/>
  <c r="S6" i="12"/>
  <c r="S12" i="12"/>
  <c r="S15" i="12"/>
  <c r="S21" i="12"/>
  <c r="C28" i="12"/>
  <c r="P28" i="12"/>
  <c r="P32" i="12" s="1"/>
  <c r="F23" i="11"/>
  <c r="C24" i="8"/>
  <c r="G32" i="12"/>
  <c r="G34" i="12"/>
  <c r="H19" i="10"/>
  <c r="G26" i="11"/>
  <c r="G25" i="8"/>
  <c r="D25" i="11"/>
  <c r="D26" i="11" s="1"/>
  <c r="B24" i="7"/>
  <c r="R37" i="7"/>
  <c r="E41" i="9"/>
  <c r="D23" i="8"/>
  <c r="H23" i="8" s="1"/>
  <c r="L23" i="8" s="1"/>
  <c r="P23" i="8" s="1"/>
  <c r="T23" i="8" s="1"/>
  <c r="X23" i="8" s="1"/>
  <c r="S31" i="9"/>
  <c r="W41" i="9"/>
  <c r="AE41" i="9" s="1"/>
  <c r="D27" i="10"/>
  <c r="E15" i="11"/>
  <c r="J15" i="11" s="1"/>
  <c r="W42" i="9"/>
  <c r="K27" i="10"/>
  <c r="J12" i="11"/>
  <c r="H14" i="11"/>
  <c r="O13" i="8"/>
  <c r="B38" i="11"/>
  <c r="AD41" i="9"/>
  <c r="AI7" i="7" s="1"/>
  <c r="AD30" i="9"/>
  <c r="AA7" i="7" s="1"/>
  <c r="N25" i="12"/>
  <c r="N28" i="12" s="1"/>
  <c r="N34" i="12" s="1"/>
  <c r="M28" i="12"/>
  <c r="F35" i="9"/>
  <c r="C38" i="9"/>
  <c r="F25" i="10"/>
  <c r="F29" i="10"/>
  <c r="C40" i="11"/>
  <c r="F14" i="11"/>
  <c r="O11" i="8"/>
  <c r="C29" i="11"/>
  <c r="C38" i="11"/>
  <c r="AD29" i="9"/>
  <c r="Z7" i="7" s="1"/>
  <c r="C24" i="7" s="1"/>
  <c r="R23" i="12"/>
  <c r="O28" i="12"/>
  <c r="O32" i="12" s="1"/>
  <c r="R32" i="12" s="1"/>
  <c r="K37" i="9"/>
  <c r="AA38" i="9"/>
  <c r="T40" i="9"/>
  <c r="AC42" i="9"/>
  <c r="C18" i="10"/>
  <c r="M18" i="10" s="1"/>
  <c r="J25" i="10"/>
  <c r="I24" i="10"/>
  <c r="J29" i="10"/>
  <c r="I28" i="10"/>
  <c r="G40" i="11"/>
  <c r="B11" i="11"/>
  <c r="H10" i="11"/>
  <c r="I17" i="11"/>
  <c r="S14" i="8"/>
  <c r="F16" i="11"/>
  <c r="F29" i="11"/>
  <c r="K24" i="8"/>
  <c r="E24" i="11"/>
  <c r="J24" i="11" s="1"/>
  <c r="E33" i="11"/>
  <c r="J33" i="11" s="1"/>
  <c r="D28" i="12"/>
  <c r="Q28" i="12"/>
  <c r="Q32" i="12" s="1"/>
  <c r="S29" i="12"/>
  <c r="S38" i="12" s="1"/>
  <c r="F20" i="11"/>
  <c r="W11" i="8"/>
  <c r="AA40" i="9"/>
  <c r="R32" i="9"/>
  <c r="AN11" i="7" s="1"/>
  <c r="W37" i="9"/>
  <c r="AD37" i="9"/>
  <c r="AF7" i="7" s="1"/>
  <c r="I24" i="7" s="1"/>
  <c r="I32" i="7" s="1"/>
  <c r="I33" i="7" s="1"/>
  <c r="I18" i="10"/>
  <c r="D23" i="10"/>
  <c r="H25" i="11"/>
  <c r="D31" i="11"/>
  <c r="D32" i="11" s="1"/>
  <c r="AD33" i="9"/>
  <c r="AC7" i="7" s="1"/>
  <c r="W38" i="9"/>
  <c r="R30" i="10"/>
  <c r="K23" i="10"/>
  <c r="F8" i="11"/>
  <c r="G11" i="8"/>
  <c r="I20" i="11"/>
  <c r="W14" i="8"/>
  <c r="H37" i="11"/>
  <c r="N23" i="12"/>
  <c r="Q40" i="9"/>
  <c r="C42" i="9"/>
  <c r="L17" i="10"/>
  <c r="B8" i="11"/>
  <c r="F10" i="11"/>
  <c r="C14" i="11"/>
  <c r="I37" i="11"/>
  <c r="R25" i="12"/>
  <c r="R28" i="12" s="1"/>
  <c r="L31" i="9"/>
  <c r="I38" i="9"/>
  <c r="C40" i="9"/>
  <c r="O41" i="9"/>
  <c r="I42" i="9"/>
  <c r="E18" i="10"/>
  <c r="O18" i="10" s="1"/>
  <c r="N19" i="10"/>
  <c r="K22" i="10"/>
  <c r="K24" i="10"/>
  <c r="K26" i="10"/>
  <c r="K28" i="10"/>
  <c r="H40" i="11"/>
  <c r="C11" i="11"/>
  <c r="G16" i="11"/>
  <c r="S4" i="12"/>
  <c r="S10" i="12"/>
  <c r="S19" i="12"/>
  <c r="E28" i="12"/>
  <c r="S26" i="12"/>
  <c r="F27" i="12"/>
  <c r="F13" i="12"/>
  <c r="J13" i="12"/>
  <c r="N13" i="12"/>
  <c r="R13" i="12"/>
  <c r="F23" i="12"/>
  <c r="F24" i="12"/>
  <c r="S5" i="12"/>
  <c r="R36" i="9"/>
  <c r="AQ11" i="7" s="1"/>
  <c r="H24" i="7" s="1"/>
  <c r="H32" i="7" s="1"/>
  <c r="AC38" i="9"/>
  <c r="AE38" i="9" s="1"/>
  <c r="Q30" i="9"/>
  <c r="Q31" i="9" s="1"/>
  <c r="Q35" i="9" s="1"/>
  <c r="M32" i="9"/>
  <c r="U32" i="9" s="1"/>
  <c r="B43" i="9"/>
  <c r="J43" i="9"/>
  <c r="D39" i="9"/>
  <c r="Z11" i="7"/>
  <c r="AD11" i="7"/>
  <c r="R28" i="9"/>
  <c r="AK11" i="7" s="1"/>
  <c r="AC11" i="7"/>
  <c r="W40" i="9"/>
  <c r="B31" i="9"/>
  <c r="B35" i="9" s="1"/>
  <c r="S35" i="9"/>
  <c r="S44" i="9" s="1"/>
  <c r="V35" i="9"/>
  <c r="AD35" i="9" s="1"/>
  <c r="L43" i="9"/>
  <c r="T36" i="9"/>
  <c r="D43" i="9"/>
  <c r="R42" i="9"/>
  <c r="AV11" i="7" s="1"/>
  <c r="M24" i="7" s="1"/>
  <c r="R38" i="9"/>
  <c r="AS11" i="7" s="1"/>
  <c r="R34" i="9"/>
  <c r="AP11" i="7" s="1"/>
  <c r="G24" i="7" s="1"/>
  <c r="G32" i="7" s="1"/>
  <c r="R30" i="9"/>
  <c r="AM11" i="7" s="1"/>
  <c r="AA11" i="7"/>
  <c r="AI11" i="7"/>
  <c r="AE29" i="9"/>
  <c r="R40" i="9"/>
  <c r="AT11" i="7" s="1"/>
  <c r="K24" i="7" s="1"/>
  <c r="AG11" i="7"/>
  <c r="G40" i="9"/>
  <c r="E31" i="9"/>
  <c r="L35" i="9"/>
  <c r="W32" i="9"/>
  <c r="F43" i="9"/>
  <c r="N43" i="9"/>
  <c r="N44" i="9" s="1"/>
  <c r="AB43" i="9"/>
  <c r="R41" i="9"/>
  <c r="AU11" i="7" s="1"/>
  <c r="R37" i="9"/>
  <c r="AR11" i="7" s="1"/>
  <c r="R33" i="9"/>
  <c r="AO11" i="7" s="1"/>
  <c r="R29" i="9"/>
  <c r="AL11" i="7" s="1"/>
  <c r="AB11" i="7"/>
  <c r="AF11" i="7"/>
  <c r="I31" i="9"/>
  <c r="I35" i="9" s="1"/>
  <c r="U30" i="9"/>
  <c r="J31" i="9"/>
  <c r="C28" i="9"/>
  <c r="C31" i="9" s="1"/>
  <c r="C35" i="9" s="1"/>
  <c r="G28" i="9"/>
  <c r="K28" i="9"/>
  <c r="K31" i="9" s="1"/>
  <c r="K35" i="9" s="1"/>
  <c r="O28" i="9"/>
  <c r="O31" i="9" s="1"/>
  <c r="O35" i="9" s="1"/>
  <c r="T28" i="9"/>
  <c r="D31" i="9"/>
  <c r="D35" i="9" s="1"/>
  <c r="AE34" i="9"/>
  <c r="C36" i="9"/>
  <c r="O36" i="9"/>
  <c r="O39" i="9" s="1"/>
  <c r="H39" i="9"/>
  <c r="V43" i="9"/>
  <c r="H43" i="9"/>
  <c r="H31" i="9"/>
  <c r="H35" i="9" s="1"/>
  <c r="Z35" i="9"/>
  <c r="K36" i="9"/>
  <c r="K43" i="9" s="1"/>
  <c r="L39" i="9"/>
  <c r="X43" i="9"/>
  <c r="U29" i="9"/>
  <c r="I41" i="9"/>
  <c r="Q41" i="9"/>
  <c r="M28" i="9"/>
  <c r="M31" i="9" s="1"/>
  <c r="AE30" i="9"/>
  <c r="AA32" i="9"/>
  <c r="AE33" i="9"/>
  <c r="S43" i="9"/>
  <c r="Z39" i="9"/>
  <c r="P39" i="9"/>
  <c r="Z43" i="9"/>
  <c r="P43" i="9"/>
  <c r="P44" i="9" s="1"/>
  <c r="J3" i="11"/>
  <c r="J27" i="11"/>
  <c r="G22" i="11"/>
  <c r="B29" i="11"/>
  <c r="B5" i="11"/>
  <c r="J6" i="11"/>
  <c r="G7" i="11"/>
  <c r="D13" i="11"/>
  <c r="D14" i="11" s="1"/>
  <c r="I13" i="11"/>
  <c r="H16" i="11"/>
  <c r="B17" i="11"/>
  <c r="G19" i="11"/>
  <c r="H22" i="11"/>
  <c r="F25" i="11"/>
  <c r="H28" i="11"/>
  <c r="J30" i="11"/>
  <c r="F31" i="11"/>
  <c r="H34" i="11"/>
  <c r="J36" i="11"/>
  <c r="F37" i="11"/>
  <c r="B40" i="11"/>
  <c r="F40" i="11"/>
  <c r="C5" i="11"/>
  <c r="H7" i="11"/>
  <c r="J9" i="11"/>
  <c r="D16" i="11"/>
  <c r="D17" i="11" s="1"/>
  <c r="H19" i="11"/>
  <c r="B20" i="11"/>
  <c r="D22" i="11"/>
  <c r="I22" i="11"/>
  <c r="D28" i="11"/>
  <c r="D29" i="11" s="1"/>
  <c r="I28" i="11"/>
  <c r="D34" i="11"/>
  <c r="D35" i="11" s="1"/>
  <c r="I34" i="11"/>
  <c r="G28" i="11"/>
  <c r="B35" i="11"/>
  <c r="D19" i="11"/>
  <c r="I14" i="10"/>
  <c r="F17" i="10"/>
  <c r="F30" i="10" s="1"/>
  <c r="H14" i="10"/>
  <c r="G14" i="10"/>
  <c r="K17" i="10"/>
  <c r="I16" i="10"/>
  <c r="H16" i="10"/>
  <c r="G16" i="10"/>
  <c r="O20" i="10"/>
  <c r="M23" i="10"/>
  <c r="M27" i="10"/>
  <c r="L27" i="10"/>
  <c r="L28" i="10"/>
  <c r="L24" i="10"/>
  <c r="L26" i="10"/>
  <c r="L29" i="10" s="1"/>
  <c r="L22" i="10"/>
  <c r="L23" i="10"/>
  <c r="E14" i="10"/>
  <c r="B17" i="10"/>
  <c r="B30" i="10" s="1"/>
  <c r="D14" i="10"/>
  <c r="C14" i="10"/>
  <c r="M15" i="10"/>
  <c r="E16" i="10"/>
  <c r="D16" i="10"/>
  <c r="C16" i="10"/>
  <c r="M19" i="10"/>
  <c r="N27" i="10"/>
  <c r="E15" i="10"/>
  <c r="I15" i="10"/>
  <c r="D18" i="10"/>
  <c r="H18" i="10"/>
  <c r="E19" i="10"/>
  <c r="I19" i="10"/>
  <c r="C20" i="10"/>
  <c r="G20" i="10"/>
  <c r="G21" i="10" s="1"/>
  <c r="D22" i="10"/>
  <c r="H22" i="10"/>
  <c r="P22" i="10"/>
  <c r="P25" i="10" s="1"/>
  <c r="P30" i="10" s="1"/>
  <c r="E23" i="10"/>
  <c r="I23" i="10"/>
  <c r="C24" i="10"/>
  <c r="G24" i="10"/>
  <c r="G25" i="10" s="1"/>
  <c r="D26" i="10"/>
  <c r="H26" i="10"/>
  <c r="E27" i="10"/>
  <c r="I27" i="10"/>
  <c r="I29" i="10" s="1"/>
  <c r="C28" i="10"/>
  <c r="G28" i="10"/>
  <c r="G29" i="10" s="1"/>
  <c r="J17" i="10"/>
  <c r="D20" i="10"/>
  <c r="H20" i="10"/>
  <c r="E22" i="10"/>
  <c r="I22" i="10"/>
  <c r="I25" i="10" s="1"/>
  <c r="M22" i="10"/>
  <c r="D24" i="10"/>
  <c r="H24" i="10"/>
  <c r="E26" i="10"/>
  <c r="M26" i="10"/>
  <c r="D28" i="10"/>
  <c r="H28" i="10"/>
  <c r="X39" i="9"/>
  <c r="Y36" i="9"/>
  <c r="T31" i="9"/>
  <c r="T35" i="9" s="1"/>
  <c r="Z31" i="9"/>
  <c r="AB35" i="9"/>
  <c r="AC32" i="9"/>
  <c r="G36" i="9"/>
  <c r="M36" i="9"/>
  <c r="G37" i="9"/>
  <c r="Y42" i="9"/>
  <c r="X31" i="9"/>
  <c r="Y28" i="9"/>
  <c r="K39" i="9"/>
  <c r="M41" i="9"/>
  <c r="M37" i="9"/>
  <c r="M42" i="9"/>
  <c r="G31" i="9"/>
  <c r="G35" i="9" s="1"/>
  <c r="V31" i="9"/>
  <c r="AA31" i="9"/>
  <c r="X35" i="9"/>
  <c r="Y32" i="9"/>
  <c r="U33" i="9"/>
  <c r="U34" i="9"/>
  <c r="AF34" i="9" s="1"/>
  <c r="T43" i="9"/>
  <c r="T39" i="9"/>
  <c r="AB39" i="9"/>
  <c r="AC36" i="9"/>
  <c r="Y37" i="9"/>
  <c r="G38" i="9"/>
  <c r="E35" i="9"/>
  <c r="W31" i="9"/>
  <c r="AB31" i="9"/>
  <c r="AC28" i="9"/>
  <c r="AC31" i="9" s="1"/>
  <c r="O43" i="9"/>
  <c r="V39" i="9"/>
  <c r="AD39" i="9" s="1"/>
  <c r="M38" i="9"/>
  <c r="M40" i="9"/>
  <c r="G41" i="9"/>
  <c r="G42" i="9"/>
  <c r="U40" i="9"/>
  <c r="Y40" i="9"/>
  <c r="AC40" i="9"/>
  <c r="B39" i="9"/>
  <c r="F39" i="9"/>
  <c r="J39" i="9"/>
  <c r="N39" i="9"/>
  <c r="S39" i="9"/>
  <c r="W36" i="9"/>
  <c r="AA36" i="9"/>
  <c r="E37" i="9"/>
  <c r="E39" i="9" s="1"/>
  <c r="I37" i="9"/>
  <c r="Q37" i="9"/>
  <c r="F38" i="11" l="1"/>
  <c r="W24" i="8"/>
  <c r="I38" i="11"/>
  <c r="W27" i="8"/>
  <c r="L32" i="12"/>
  <c r="L34" i="12"/>
  <c r="C32" i="12"/>
  <c r="C34" i="12"/>
  <c r="I14" i="11"/>
  <c r="O14" i="8"/>
  <c r="K11" i="8"/>
  <c r="F11" i="11"/>
  <c r="M32" i="12"/>
  <c r="M34" i="12"/>
  <c r="S27" i="12"/>
  <c r="H32" i="12"/>
  <c r="J32" i="12" s="1"/>
  <c r="H34" i="12"/>
  <c r="G8" i="11"/>
  <c r="E8" i="11" s="1"/>
  <c r="J8" i="11" s="1"/>
  <c r="P8" i="11" s="1"/>
  <c r="G12" i="8"/>
  <c r="U42" i="9"/>
  <c r="AF42" i="9" s="1"/>
  <c r="AE42" i="9"/>
  <c r="G35" i="11"/>
  <c r="S25" i="8"/>
  <c r="I26" i="11"/>
  <c r="G27" i="8"/>
  <c r="AA35" i="9"/>
  <c r="N20" i="10"/>
  <c r="C21" i="10"/>
  <c r="I35" i="11"/>
  <c r="S27" i="8"/>
  <c r="H8" i="11"/>
  <c r="G13" i="8"/>
  <c r="F26" i="11"/>
  <c r="G24" i="8"/>
  <c r="E24" i="7"/>
  <c r="I32" i="11"/>
  <c r="O27" i="8"/>
  <c r="H5" i="11"/>
  <c r="C13" i="8"/>
  <c r="I32" i="12"/>
  <c r="I34" i="12"/>
  <c r="F5" i="11"/>
  <c r="C11" i="8"/>
  <c r="O28" i="10"/>
  <c r="Q43" i="9"/>
  <c r="Q44" i="9" s="1"/>
  <c r="H20" i="11"/>
  <c r="W13" i="8"/>
  <c r="W43" i="9"/>
  <c r="J25" i="11"/>
  <c r="G17" i="11"/>
  <c r="S12" i="8"/>
  <c r="C41" i="11"/>
  <c r="S25" i="12"/>
  <c r="J31" i="11"/>
  <c r="I5" i="11"/>
  <c r="C14" i="8"/>
  <c r="I23" i="11"/>
  <c r="C27" i="8"/>
  <c r="K25" i="10"/>
  <c r="K30" i="10" s="1"/>
  <c r="C39" i="9"/>
  <c r="O26" i="8"/>
  <c r="H32" i="11"/>
  <c r="I21" i="10"/>
  <c r="G29" i="11"/>
  <c r="K25" i="8"/>
  <c r="AD31" i="9"/>
  <c r="H21" i="10"/>
  <c r="J16" i="11"/>
  <c r="I29" i="11"/>
  <c r="K27" i="8"/>
  <c r="E40" i="11"/>
  <c r="J40" i="11" s="1"/>
  <c r="H23" i="11"/>
  <c r="C26" i="8"/>
  <c r="G23" i="11"/>
  <c r="E23" i="11" s="1"/>
  <c r="C25" i="8"/>
  <c r="J24" i="7"/>
  <c r="W26" i="8"/>
  <c r="H38" i="11"/>
  <c r="G26" i="8"/>
  <c r="H26" i="11"/>
  <c r="H11" i="11"/>
  <c r="K13" i="8"/>
  <c r="J37" i="11"/>
  <c r="D32" i="12"/>
  <c r="D34" i="12"/>
  <c r="H25" i="10"/>
  <c r="H17" i="11"/>
  <c r="S13" i="8"/>
  <c r="AC35" i="9"/>
  <c r="N23" i="10"/>
  <c r="H35" i="11"/>
  <c r="S26" i="8"/>
  <c r="B44" i="9"/>
  <c r="O24" i="10"/>
  <c r="G14" i="11"/>
  <c r="E14" i="11" s="1"/>
  <c r="J14" i="11" s="1"/>
  <c r="P14" i="11" s="1"/>
  <c r="O12" i="8"/>
  <c r="O27" i="10"/>
  <c r="S27" i="10" s="1"/>
  <c r="F32" i="11"/>
  <c r="E32" i="11" s="1"/>
  <c r="J32" i="11" s="1"/>
  <c r="P32" i="11" s="1"/>
  <c r="O24" i="8"/>
  <c r="F44" i="9"/>
  <c r="N16" i="10"/>
  <c r="H29" i="11"/>
  <c r="K26" i="8"/>
  <c r="F17" i="11"/>
  <c r="E17" i="11" s="1"/>
  <c r="J17" i="11" s="1"/>
  <c r="P17" i="11" s="1"/>
  <c r="S11" i="8"/>
  <c r="AE37" i="9"/>
  <c r="J30" i="10"/>
  <c r="U36" i="9"/>
  <c r="O23" i="10"/>
  <c r="S23" i="10" s="1"/>
  <c r="G20" i="11"/>
  <c r="E20" i="11" s="1"/>
  <c r="W12" i="8"/>
  <c r="M35" i="9"/>
  <c r="AD43" i="9"/>
  <c r="L44" i="9"/>
  <c r="E32" i="12"/>
  <c r="E34" i="12"/>
  <c r="K29" i="10"/>
  <c r="K12" i="8"/>
  <c r="G11" i="11"/>
  <c r="K32" i="12"/>
  <c r="K34" i="12"/>
  <c r="G33" i="7"/>
  <c r="W9" i="8" s="1"/>
  <c r="H33" i="7"/>
  <c r="C22" i="8" s="1"/>
  <c r="M32" i="7"/>
  <c r="K32" i="7"/>
  <c r="J32" i="7"/>
  <c r="E32" i="7"/>
  <c r="B32" i="7"/>
  <c r="B33" i="7" s="1"/>
  <c r="C9" i="8" s="1"/>
  <c r="G22" i="8"/>
  <c r="S24" i="12"/>
  <c r="F28" i="12"/>
  <c r="R39" i="9"/>
  <c r="W35" i="9"/>
  <c r="W44" i="9" s="1"/>
  <c r="AF33" i="9"/>
  <c r="Y31" i="9"/>
  <c r="AE28" i="9"/>
  <c r="J35" i="9"/>
  <c r="R31" i="9"/>
  <c r="R43" i="9"/>
  <c r="L24" i="7"/>
  <c r="Z44" i="9"/>
  <c r="AF29" i="9"/>
  <c r="D44" i="9"/>
  <c r="D24" i="7"/>
  <c r="F24" i="7"/>
  <c r="AE40" i="9"/>
  <c r="AF40" i="9" s="1"/>
  <c r="U41" i="9"/>
  <c r="AB44" i="9"/>
  <c r="U38" i="9"/>
  <c r="AF38" i="9" s="1"/>
  <c r="AF30" i="9"/>
  <c r="O44" i="9"/>
  <c r="AE32" i="9"/>
  <c r="AF32" i="9" s="1"/>
  <c r="Y35" i="9"/>
  <c r="U28" i="9"/>
  <c r="U31" i="9" s="1"/>
  <c r="U35" i="9" s="1"/>
  <c r="I43" i="9"/>
  <c r="I44" i="9" s="1"/>
  <c r="E43" i="9"/>
  <c r="E44" i="9" s="1"/>
  <c r="Q39" i="9"/>
  <c r="H44" i="9"/>
  <c r="J28" i="11"/>
  <c r="J20" i="11"/>
  <c r="P20" i="11" s="1"/>
  <c r="B41" i="11"/>
  <c r="J34" i="11"/>
  <c r="F41" i="11"/>
  <c r="G41" i="11"/>
  <c r="D20" i="11"/>
  <c r="J19" i="11"/>
  <c r="J22" i="11"/>
  <c r="D23" i="11"/>
  <c r="D41" i="11" s="1"/>
  <c r="J13" i="11"/>
  <c r="G17" i="10"/>
  <c r="G30" i="10" s="1"/>
  <c r="O26" i="10"/>
  <c r="O29" i="10" s="1"/>
  <c r="E29" i="10"/>
  <c r="H29" i="10"/>
  <c r="N22" i="10"/>
  <c r="D25" i="10"/>
  <c r="O19" i="10"/>
  <c r="O21" i="10" s="1"/>
  <c r="O15" i="10"/>
  <c r="S15" i="10" s="1"/>
  <c r="M16" i="10"/>
  <c r="V16" i="10"/>
  <c r="W16" i="10" s="1"/>
  <c r="V15" i="10"/>
  <c r="W15" i="10" s="1"/>
  <c r="E17" i="10"/>
  <c r="O14" i="10"/>
  <c r="E21" i="10"/>
  <c r="H17" i="10"/>
  <c r="H30" i="10" s="1"/>
  <c r="M24" i="10"/>
  <c r="M25" i="10" s="1"/>
  <c r="V24" i="10"/>
  <c r="W24" i="10" s="1"/>
  <c r="O22" i="10"/>
  <c r="E25" i="10"/>
  <c r="M28" i="10"/>
  <c r="S28" i="10" s="1"/>
  <c r="V28" i="10"/>
  <c r="W28" i="10" s="1"/>
  <c r="N26" i="10"/>
  <c r="D29" i="10"/>
  <c r="V23" i="10"/>
  <c r="W23" i="10" s="1"/>
  <c r="C29" i="10"/>
  <c r="S22" i="10"/>
  <c r="V22" i="10"/>
  <c r="W22" i="10" s="1"/>
  <c r="C28" i="8" s="1"/>
  <c r="G28" i="8" s="1"/>
  <c r="K28" i="8" s="1"/>
  <c r="O28" i="8" s="1"/>
  <c r="S28" i="8" s="1"/>
  <c r="W28" i="8" s="1"/>
  <c r="S19" i="10"/>
  <c r="C17" i="10"/>
  <c r="M14" i="10"/>
  <c r="V14" i="10"/>
  <c r="W14" i="10" s="1"/>
  <c r="C15" i="8" s="1"/>
  <c r="G15" i="8" s="1"/>
  <c r="K15" i="8" s="1"/>
  <c r="O15" i="8" s="1"/>
  <c r="S15" i="8" s="1"/>
  <c r="W15" i="8" s="1"/>
  <c r="N28" i="10"/>
  <c r="N24" i="10"/>
  <c r="V26" i="10"/>
  <c r="W26" i="10" s="1"/>
  <c r="M20" i="10"/>
  <c r="S20" i="10" s="1"/>
  <c r="V20" i="10"/>
  <c r="W20" i="10" s="1"/>
  <c r="N18" i="10"/>
  <c r="N21" i="10" s="1"/>
  <c r="D21" i="10"/>
  <c r="V21" i="10" s="1"/>
  <c r="W21" i="10" s="1"/>
  <c r="V18" i="10"/>
  <c r="W18" i="10" s="1"/>
  <c r="V19" i="10"/>
  <c r="W19" i="10" s="1"/>
  <c r="O16" i="10"/>
  <c r="N14" i="10"/>
  <c r="N17" i="10" s="1"/>
  <c r="D17" i="10"/>
  <c r="L25" i="10"/>
  <c r="L30" i="10" s="1"/>
  <c r="V27" i="10"/>
  <c r="W27" i="10" s="1"/>
  <c r="C25" i="10"/>
  <c r="I17" i="10"/>
  <c r="I30" i="10" s="1"/>
  <c r="W39" i="9"/>
  <c r="AE36" i="9"/>
  <c r="U37" i="9"/>
  <c r="M43" i="9"/>
  <c r="M44" i="9" s="1"/>
  <c r="M39" i="9"/>
  <c r="K44" i="9"/>
  <c r="Y43" i="9"/>
  <c r="Y39" i="9"/>
  <c r="G43" i="9"/>
  <c r="G44" i="9" s="1"/>
  <c r="G39" i="9"/>
  <c r="AC39" i="9"/>
  <c r="AC43" i="9"/>
  <c r="I39" i="9"/>
  <c r="X44" i="9"/>
  <c r="T44" i="9"/>
  <c r="C44" i="9"/>
  <c r="AA43" i="9"/>
  <c r="AA39" i="9"/>
  <c r="AF41" i="9"/>
  <c r="V44" i="9"/>
  <c r="AD44" i="9" s="1"/>
  <c r="O25" i="10" l="1"/>
  <c r="H41" i="11"/>
  <c r="AA44" i="9"/>
  <c r="F32" i="12"/>
  <c r="S28" i="12"/>
  <c r="S32" i="12" s="1"/>
  <c r="F34" i="12"/>
  <c r="E5" i="11"/>
  <c r="J5" i="11" s="1"/>
  <c r="P5" i="11" s="1"/>
  <c r="E26" i="11"/>
  <c r="J26" i="11" s="1"/>
  <c r="P26" i="11" s="1"/>
  <c r="N32" i="12"/>
  <c r="E35" i="11"/>
  <c r="J35" i="11" s="1"/>
  <c r="P35" i="11" s="1"/>
  <c r="E11" i="11"/>
  <c r="J11" i="11" s="1"/>
  <c r="P11" i="11" s="1"/>
  <c r="I41" i="11"/>
  <c r="E29" i="11"/>
  <c r="J29" i="11" s="1"/>
  <c r="P29" i="11" s="1"/>
  <c r="AC44" i="9"/>
  <c r="U43" i="9"/>
  <c r="U44" i="9" s="1"/>
  <c r="E38" i="11"/>
  <c r="J38" i="11" s="1"/>
  <c r="P38" i="11" s="1"/>
  <c r="K45" i="7"/>
  <c r="K46" i="7" s="1"/>
  <c r="K49" i="7" s="1"/>
  <c r="D22" i="8"/>
  <c r="D20" i="8" s="1"/>
  <c r="F22" i="8"/>
  <c r="F19" i="8" s="1"/>
  <c r="C21" i="8"/>
  <c r="C19" i="8"/>
  <c r="E22" i="8"/>
  <c r="E21" i="8" s="1"/>
  <c r="C18" i="8"/>
  <c r="C20" i="8"/>
  <c r="X9" i="8"/>
  <c r="X6" i="8" s="1"/>
  <c r="W5" i="8"/>
  <c r="W6" i="8"/>
  <c r="Z9" i="8"/>
  <c r="Z6" i="8" s="1"/>
  <c r="W7" i="8"/>
  <c r="Y9" i="8"/>
  <c r="Y7" i="8" s="1"/>
  <c r="W8" i="8"/>
  <c r="J33" i="7"/>
  <c r="K22" i="8" s="1"/>
  <c r="E33" i="7"/>
  <c r="O9" i="8" s="1"/>
  <c r="K33" i="7"/>
  <c r="O22" i="8" s="1"/>
  <c r="M33" i="7"/>
  <c r="W22" i="8" s="1"/>
  <c r="L32" i="7"/>
  <c r="E19" i="8"/>
  <c r="D19" i="8"/>
  <c r="X8" i="8"/>
  <c r="F32" i="7"/>
  <c r="D32" i="7"/>
  <c r="C32" i="7"/>
  <c r="C8" i="8"/>
  <c r="C7" i="8"/>
  <c r="F9" i="8"/>
  <c r="F6" i="8" s="1"/>
  <c r="D9" i="8"/>
  <c r="D7" i="8" s="1"/>
  <c r="C6" i="8"/>
  <c r="C5" i="8"/>
  <c r="E9" i="8"/>
  <c r="E7" i="8" s="1"/>
  <c r="J22" i="8"/>
  <c r="H22" i="8"/>
  <c r="G18" i="8"/>
  <c r="I22" i="8"/>
  <c r="G19" i="8"/>
  <c r="G21" i="8"/>
  <c r="G20" i="8"/>
  <c r="J44" i="9"/>
  <c r="R35" i="9"/>
  <c r="Y44" i="9"/>
  <c r="U39" i="9"/>
  <c r="AF37" i="9"/>
  <c r="E41" i="11"/>
  <c r="J41" i="11"/>
  <c r="L41" i="11" s="1"/>
  <c r="J23" i="11"/>
  <c r="P23" i="11" s="1"/>
  <c r="S14" i="10"/>
  <c r="M17" i="10"/>
  <c r="S18" i="10"/>
  <c r="S21" i="10" s="1"/>
  <c r="V17" i="10"/>
  <c r="W17" i="10" s="1"/>
  <c r="C30" i="10"/>
  <c r="O17" i="10"/>
  <c r="O30" i="10" s="1"/>
  <c r="S16" i="10"/>
  <c r="N25" i="10"/>
  <c r="D30" i="10"/>
  <c r="S25" i="10"/>
  <c r="N29" i="10"/>
  <c r="N30" i="10" s="1"/>
  <c r="E30" i="10"/>
  <c r="M29" i="10"/>
  <c r="S24" i="10"/>
  <c r="V25" i="10"/>
  <c r="W25" i="10" s="1"/>
  <c r="V29" i="10"/>
  <c r="W29" i="10" s="1"/>
  <c r="M21" i="10"/>
  <c r="S26" i="10"/>
  <c r="S29" i="10" s="1"/>
  <c r="AF36" i="9"/>
  <c r="AE43" i="9"/>
  <c r="AE39" i="9"/>
  <c r="AF28" i="9"/>
  <c r="AF31" i="9" s="1"/>
  <c r="AF35" i="9" s="1"/>
  <c r="AE31" i="9"/>
  <c r="AE35" i="9" s="1"/>
  <c r="X5" i="8" l="1"/>
  <c r="F20" i="8"/>
  <c r="X7" i="8"/>
  <c r="D21" i="8"/>
  <c r="E18" i="8"/>
  <c r="Z7" i="8"/>
  <c r="Y8" i="8"/>
  <c r="Z8" i="8"/>
  <c r="Z5" i="8"/>
  <c r="Y5" i="8"/>
  <c r="O6" i="8"/>
  <c r="O5" i="8"/>
  <c r="O8" i="8"/>
  <c r="R9" i="8"/>
  <c r="R5" i="8" s="1"/>
  <c r="Q9" i="8"/>
  <c r="Q6" i="8" s="1"/>
  <c r="P9" i="8"/>
  <c r="P8" i="8" s="1"/>
  <c r="O7" i="8"/>
  <c r="R22" i="8"/>
  <c r="R20" i="8" s="1"/>
  <c r="Q22" i="8"/>
  <c r="Q18" i="8" s="1"/>
  <c r="O20" i="8"/>
  <c r="P22" i="8"/>
  <c r="P18" i="8" s="1"/>
  <c r="O18" i="8"/>
  <c r="O21" i="8"/>
  <c r="O19" i="8"/>
  <c r="K21" i="8"/>
  <c r="K18" i="8"/>
  <c r="L22" i="8"/>
  <c r="L18" i="8" s="1"/>
  <c r="K20" i="8"/>
  <c r="M22" i="8"/>
  <c r="M18" i="8" s="1"/>
  <c r="K19" i="8"/>
  <c r="N22" i="8"/>
  <c r="N21" i="8" s="1"/>
  <c r="X22" i="8"/>
  <c r="Z22" i="8"/>
  <c r="W21" i="8"/>
  <c r="W19" i="8"/>
  <c r="Y22" i="8"/>
  <c r="W18" i="8"/>
  <c r="W20" i="8"/>
  <c r="C33" i="7"/>
  <c r="G9" i="8" s="1"/>
  <c r="L33" i="7"/>
  <c r="S22" i="8" s="1"/>
  <c r="D33" i="7"/>
  <c r="K9" i="8" s="1"/>
  <c r="F33" i="7"/>
  <c r="S9" i="8" s="1"/>
  <c r="F21" i="8"/>
  <c r="Y6" i="8"/>
  <c r="D18" i="8"/>
  <c r="F18" i="8"/>
  <c r="E20" i="8"/>
  <c r="P5" i="8"/>
  <c r="R18" i="8"/>
  <c r="Q7" i="8"/>
  <c r="E5" i="8"/>
  <c r="D8" i="8"/>
  <c r="D6" i="8"/>
  <c r="D5" i="8"/>
  <c r="F8" i="8"/>
  <c r="F7" i="8"/>
  <c r="E6" i="8"/>
  <c r="F5" i="8"/>
  <c r="E8" i="8"/>
  <c r="H18" i="8"/>
  <c r="H21" i="8"/>
  <c r="H20" i="8"/>
  <c r="H19" i="8"/>
  <c r="J21" i="8"/>
  <c r="J20" i="8"/>
  <c r="J18" i="8"/>
  <c r="J19" i="8"/>
  <c r="I21" i="8"/>
  <c r="I20" i="8"/>
  <c r="I19" i="8"/>
  <c r="I18" i="8"/>
  <c r="AE44" i="9"/>
  <c r="M30" i="10"/>
  <c r="V30" i="10"/>
  <c r="W30" i="10" s="1"/>
  <c r="S17" i="10"/>
  <c r="S30" i="10" s="1"/>
  <c r="AF43" i="9"/>
  <c r="AF44" i="9" s="1"/>
  <c r="AF39" i="9"/>
  <c r="P21" i="8" l="1"/>
  <c r="Q5" i="8"/>
  <c r="R6" i="8"/>
  <c r="N20" i="8"/>
  <c r="M20" i="8"/>
  <c r="Q8" i="8"/>
  <c r="S8" i="8"/>
  <c r="V9" i="8"/>
  <c r="V5" i="8" s="1"/>
  <c r="S7" i="8"/>
  <c r="T9" i="8"/>
  <c r="T6" i="8" s="1"/>
  <c r="U9" i="8"/>
  <c r="U5" i="8" s="1"/>
  <c r="S6" i="8"/>
  <c r="S5" i="8"/>
  <c r="T22" i="8"/>
  <c r="T19" i="8" s="1"/>
  <c r="S20" i="8"/>
  <c r="S19" i="8"/>
  <c r="S21" i="8"/>
  <c r="U22" i="8"/>
  <c r="U20" i="8" s="1"/>
  <c r="V22" i="8"/>
  <c r="V18" i="8" s="1"/>
  <c r="S18" i="8"/>
  <c r="K5" i="8"/>
  <c r="K6" i="8"/>
  <c r="K8" i="8"/>
  <c r="M9" i="8"/>
  <c r="M7" i="8" s="1"/>
  <c r="K7" i="8"/>
  <c r="N9" i="8"/>
  <c r="N7" i="8" s="1"/>
  <c r="L9" i="8"/>
  <c r="L7" i="8" s="1"/>
  <c r="I9" i="8"/>
  <c r="I7" i="8" s="1"/>
  <c r="H9" i="8"/>
  <c r="H6" i="8" s="1"/>
  <c r="G5" i="8"/>
  <c r="G8" i="8"/>
  <c r="G6" i="8"/>
  <c r="J9" i="8"/>
  <c r="J7" i="8" s="1"/>
  <c r="G7" i="8"/>
  <c r="Y20" i="8"/>
  <c r="Y21" i="8"/>
  <c r="Y18" i="8"/>
  <c r="Y19" i="8"/>
  <c r="X21" i="8"/>
  <c r="X19" i="8"/>
  <c r="L19" i="8"/>
  <c r="L21" i="8"/>
  <c r="L20" i="8"/>
  <c r="Q20" i="8"/>
  <c r="Q21" i="8"/>
  <c r="X20" i="8"/>
  <c r="N19" i="8"/>
  <c r="P6" i="8"/>
  <c r="R19" i="8"/>
  <c r="R21" i="8"/>
  <c r="R7" i="8"/>
  <c r="R8" i="8"/>
  <c r="P7" i="8"/>
  <c r="X18" i="8"/>
  <c r="N18" i="8"/>
  <c r="Q19" i="8"/>
  <c r="Z20" i="8"/>
  <c r="Z21" i="8"/>
  <c r="Z18" i="8"/>
  <c r="Z19" i="8"/>
  <c r="M21" i="8"/>
  <c r="M19" i="8"/>
  <c r="P20" i="8"/>
  <c r="P19" i="8"/>
  <c r="M5" i="8"/>
  <c r="J8" i="8"/>
  <c r="J6" i="8"/>
  <c r="N6" i="8" l="1"/>
  <c r="T18" i="8"/>
  <c r="M8" i="8"/>
  <c r="T20" i="8"/>
  <c r="T8" i="8"/>
  <c r="U6" i="8"/>
  <c r="T21" i="8"/>
  <c r="H5" i="8"/>
  <c r="V7" i="8"/>
  <c r="M6" i="8"/>
  <c r="U7" i="8"/>
  <c r="U8" i="8"/>
  <c r="U21" i="8"/>
  <c r="U18" i="8"/>
  <c r="U19" i="8"/>
  <c r="T5" i="8"/>
  <c r="T7" i="8"/>
  <c r="V8" i="8"/>
  <c r="V6" i="8"/>
  <c r="V19" i="8"/>
  <c r="V20" i="8"/>
  <c r="V21" i="8"/>
  <c r="L5" i="8"/>
  <c r="J5" i="8"/>
  <c r="I6" i="8"/>
  <c r="I8" i="8"/>
  <c r="I5" i="8"/>
  <c r="L8" i="8"/>
  <c r="N5" i="8"/>
  <c r="N8" i="8"/>
  <c r="L6" i="8"/>
  <c r="H8" i="8"/>
  <c r="H7" i="8"/>
  <c r="AB31" i="1" l="1"/>
  <c r="C19" i="4"/>
  <c r="C11" i="5" l="1"/>
  <c r="D11" i="5"/>
  <c r="E11" i="5"/>
  <c r="F11" i="5"/>
  <c r="G11" i="5"/>
  <c r="H11" i="5"/>
  <c r="I11" i="5"/>
  <c r="J11" i="5"/>
  <c r="K11" i="5"/>
  <c r="L11" i="5"/>
  <c r="M11" i="5"/>
  <c r="N11" i="5"/>
  <c r="P11" i="5"/>
  <c r="Q11" i="5"/>
  <c r="R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C12" i="5"/>
  <c r="C13" i="5"/>
  <c r="C14" i="5"/>
  <c r="C25" i="5" l="1"/>
  <c r="C6" i="5"/>
  <c r="D6" i="5"/>
  <c r="D20" i="5" s="1"/>
  <c r="E6" i="5"/>
  <c r="E20" i="5" s="1"/>
  <c r="F6" i="5"/>
  <c r="G6" i="5"/>
  <c r="H6" i="5"/>
  <c r="I6" i="5"/>
  <c r="I20" i="5" s="1"/>
  <c r="J6" i="5"/>
  <c r="K6" i="5"/>
  <c r="L6" i="5"/>
  <c r="L20" i="5" s="1"/>
  <c r="M6" i="5"/>
  <c r="M20" i="5" s="1"/>
  <c r="N6" i="5"/>
  <c r="N20" i="5" s="1"/>
  <c r="O6" i="5"/>
  <c r="P6" i="5"/>
  <c r="Q6" i="5"/>
  <c r="Q20" i="5" s="1"/>
  <c r="R6" i="5"/>
  <c r="R20" i="5" s="1"/>
  <c r="S6" i="5"/>
  <c r="S20" i="5" s="1"/>
  <c r="T6" i="5"/>
  <c r="T20" i="5" s="1"/>
  <c r="U6" i="5"/>
  <c r="U20" i="5" s="1"/>
  <c r="V6" i="5"/>
  <c r="W6" i="5"/>
  <c r="X6" i="5"/>
  <c r="Y6" i="5"/>
  <c r="Y20" i="5" s="1"/>
  <c r="Z6" i="5"/>
  <c r="C7" i="5"/>
  <c r="C21" i="5" s="1"/>
  <c r="D7" i="5"/>
  <c r="E7" i="5"/>
  <c r="E21" i="5" s="1"/>
  <c r="F7" i="5"/>
  <c r="F21" i="5" s="1"/>
  <c r="G7" i="5"/>
  <c r="G21" i="5" s="1"/>
  <c r="H7" i="5"/>
  <c r="I7" i="5"/>
  <c r="I21" i="5" s="1"/>
  <c r="J7" i="5"/>
  <c r="J21" i="5" s="1"/>
  <c r="K7" i="5"/>
  <c r="L7" i="5"/>
  <c r="L21" i="5" s="1"/>
  <c r="M7" i="5"/>
  <c r="M21" i="5" s="1"/>
  <c r="N7" i="5"/>
  <c r="N21" i="5" s="1"/>
  <c r="O7" i="5"/>
  <c r="O21" i="5" s="1"/>
  <c r="P7" i="5"/>
  <c r="P21" i="5" s="1"/>
  <c r="Q7" i="5"/>
  <c r="Q21" i="5" s="1"/>
  <c r="R7" i="5"/>
  <c r="R21" i="5" s="1"/>
  <c r="S7" i="5"/>
  <c r="T7" i="5"/>
  <c r="U7" i="5"/>
  <c r="U21" i="5" s="1"/>
  <c r="V7" i="5"/>
  <c r="V21" i="5" s="1"/>
  <c r="W7" i="5"/>
  <c r="X7" i="5"/>
  <c r="Y7" i="5"/>
  <c r="Y21" i="5" s="1"/>
  <c r="Z7" i="5"/>
  <c r="Z21" i="5" s="1"/>
  <c r="C8" i="5"/>
  <c r="C22" i="5" s="1"/>
  <c r="D8" i="5"/>
  <c r="D22" i="5" s="1"/>
  <c r="E8" i="5"/>
  <c r="E22" i="5" s="1"/>
  <c r="F8" i="5"/>
  <c r="F22" i="5" s="1"/>
  <c r="G8" i="5"/>
  <c r="G22" i="5" s="1"/>
  <c r="H8" i="5"/>
  <c r="H22" i="5" s="1"/>
  <c r="I8" i="5"/>
  <c r="I22" i="5" s="1"/>
  <c r="J8" i="5"/>
  <c r="J22" i="5" s="1"/>
  <c r="K8" i="5"/>
  <c r="K22" i="5" s="1"/>
  <c r="L8" i="5"/>
  <c r="L22" i="5" s="1"/>
  <c r="M8" i="5"/>
  <c r="M22" i="5" s="1"/>
  <c r="N8" i="5"/>
  <c r="N22" i="5" s="1"/>
  <c r="O8" i="5"/>
  <c r="O22" i="5" s="1"/>
  <c r="P8" i="5"/>
  <c r="P22" i="5" s="1"/>
  <c r="Q8" i="5"/>
  <c r="R8" i="5"/>
  <c r="R22" i="5" s="1"/>
  <c r="S8" i="5"/>
  <c r="S22" i="5" s="1"/>
  <c r="T8" i="5"/>
  <c r="T22" i="5" s="1"/>
  <c r="U8" i="5"/>
  <c r="U22" i="5" s="1"/>
  <c r="V8" i="5"/>
  <c r="V22" i="5" s="1"/>
  <c r="W8" i="5"/>
  <c r="W22" i="5" s="1"/>
  <c r="X8" i="5"/>
  <c r="X22" i="5" s="1"/>
  <c r="Y8" i="5"/>
  <c r="Y22" i="5" s="1"/>
  <c r="Z8" i="5"/>
  <c r="Z22" i="5" s="1"/>
  <c r="D5" i="5"/>
  <c r="D19" i="5" s="1"/>
  <c r="E5" i="5"/>
  <c r="E19" i="5" s="1"/>
  <c r="F5" i="5"/>
  <c r="F19" i="5" s="1"/>
  <c r="G5" i="5"/>
  <c r="G19" i="5" s="1"/>
  <c r="H5" i="5"/>
  <c r="H19" i="5" s="1"/>
  <c r="I5" i="5"/>
  <c r="I19" i="5" s="1"/>
  <c r="J5" i="5"/>
  <c r="J19" i="5" s="1"/>
  <c r="K5" i="5"/>
  <c r="L5" i="5"/>
  <c r="M5" i="5"/>
  <c r="M19" i="5" s="1"/>
  <c r="N5" i="5"/>
  <c r="N19" i="5" s="1"/>
  <c r="O5" i="5"/>
  <c r="P5" i="5"/>
  <c r="Q5" i="5"/>
  <c r="Q19" i="5" s="1"/>
  <c r="R5" i="5"/>
  <c r="R19" i="5" s="1"/>
  <c r="S5" i="5"/>
  <c r="S19" i="5" s="1"/>
  <c r="T5" i="5"/>
  <c r="T19" i="5" s="1"/>
  <c r="U5" i="5"/>
  <c r="U19" i="5" s="1"/>
  <c r="V5" i="5"/>
  <c r="W5" i="5"/>
  <c r="W19" i="5" s="1"/>
  <c r="X5" i="5"/>
  <c r="Y5" i="5"/>
  <c r="Y19" i="5" s="1"/>
  <c r="Z5" i="5"/>
  <c r="Z19" i="5" s="1"/>
  <c r="C5" i="5"/>
  <c r="C19" i="5" s="1"/>
  <c r="S26" i="4"/>
  <c r="T26" i="4"/>
  <c r="U26" i="4"/>
  <c r="V26" i="4"/>
  <c r="W26" i="4"/>
  <c r="X26" i="4"/>
  <c r="Y26" i="4"/>
  <c r="Z26" i="4"/>
  <c r="S27" i="4"/>
  <c r="T27" i="4"/>
  <c r="U27" i="4"/>
  <c r="V27" i="4"/>
  <c r="W27" i="4"/>
  <c r="X27" i="4"/>
  <c r="Y27" i="4"/>
  <c r="Z27" i="4"/>
  <c r="S28" i="4"/>
  <c r="T28" i="4"/>
  <c r="U28" i="4"/>
  <c r="V28" i="4"/>
  <c r="W28" i="4"/>
  <c r="X28" i="4"/>
  <c r="Y28" i="4"/>
  <c r="Z28" i="4"/>
  <c r="T25" i="4"/>
  <c r="U25" i="4"/>
  <c r="V25" i="4"/>
  <c r="W25" i="4"/>
  <c r="X25" i="4"/>
  <c r="Y25" i="4"/>
  <c r="Z25" i="4"/>
  <c r="S25" i="4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K19" i="5"/>
  <c r="L19" i="5"/>
  <c r="O19" i="5"/>
  <c r="P19" i="5"/>
  <c r="V19" i="5"/>
  <c r="X19" i="5"/>
  <c r="F20" i="5"/>
  <c r="G20" i="5"/>
  <c r="H20" i="5"/>
  <c r="J20" i="5"/>
  <c r="K20" i="5"/>
  <c r="O20" i="5"/>
  <c r="P20" i="5"/>
  <c r="V20" i="5"/>
  <c r="W20" i="5"/>
  <c r="X20" i="5"/>
  <c r="Z20" i="5"/>
  <c r="D21" i="5"/>
  <c r="H21" i="5"/>
  <c r="K21" i="5"/>
  <c r="S21" i="5"/>
  <c r="T21" i="5"/>
  <c r="W21" i="5"/>
  <c r="X21" i="5"/>
  <c r="Q22" i="5"/>
  <c r="C20" i="5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0" i="4"/>
  <c r="C21" i="4"/>
  <c r="C22" i="4"/>
  <c r="AD8" i="1" l="1"/>
  <c r="AE8" i="1"/>
  <c r="AB7" i="1"/>
  <c r="AB8" i="1"/>
  <c r="AD7" i="1" l="1"/>
  <c r="AD6" i="1"/>
  <c r="AD5" i="1"/>
  <c r="AC8" i="1"/>
  <c r="AC6" i="1"/>
  <c r="AB5" i="1"/>
  <c r="AC5" i="1"/>
  <c r="AE7" i="1"/>
  <c r="AE6" i="1"/>
  <c r="AE5" i="1"/>
  <c r="AC7" i="1"/>
  <c r="AB6" i="1"/>
  <c r="BC17" i="1" l="1"/>
  <c r="BC8" i="1" s="1"/>
  <c r="BB17" i="1"/>
  <c r="BB8" i="1" s="1"/>
  <c r="BA17" i="1"/>
  <c r="BA8" i="1" s="1"/>
  <c r="AZ17" i="1"/>
  <c r="AZ8" i="1" s="1"/>
  <c r="AY17" i="1"/>
  <c r="AY8" i="1" s="1"/>
  <c r="AX17" i="1"/>
  <c r="AX8" i="1" s="1"/>
  <c r="AW17" i="1"/>
  <c r="AW8" i="1" s="1"/>
  <c r="AV17" i="1"/>
  <c r="AV8" i="1" s="1"/>
  <c r="AU17" i="1"/>
  <c r="AU8" i="1" s="1"/>
  <c r="AT17" i="1"/>
  <c r="AT8" i="1" s="1"/>
  <c r="AS17" i="1"/>
  <c r="AS8" i="1" s="1"/>
  <c r="AR17" i="1"/>
  <c r="AR8" i="1" s="1"/>
  <c r="AQ17" i="1"/>
  <c r="AQ8" i="1" s="1"/>
  <c r="AP17" i="1"/>
  <c r="AP8" i="1" s="1"/>
  <c r="AO17" i="1"/>
  <c r="AO8" i="1" s="1"/>
  <c r="AN17" i="1"/>
  <c r="AN8" i="1" s="1"/>
  <c r="AM17" i="1"/>
  <c r="AM8" i="1" s="1"/>
  <c r="AL17" i="1"/>
  <c r="AL8" i="1" s="1"/>
  <c r="AK17" i="1"/>
  <c r="AK8" i="1" s="1"/>
  <c r="AJ17" i="1"/>
  <c r="AJ8" i="1" s="1"/>
  <c r="AI17" i="1"/>
  <c r="AI8" i="1" s="1"/>
  <c r="AH17" i="1"/>
  <c r="AH8" i="1" s="1"/>
  <c r="AG17" i="1"/>
  <c r="AG8" i="1" s="1"/>
  <c r="AF17" i="1"/>
  <c r="AF8" i="1" s="1"/>
  <c r="BC16" i="1"/>
  <c r="BC7" i="1" s="1"/>
  <c r="BB16" i="1"/>
  <c r="BB7" i="1" s="1"/>
  <c r="BA16" i="1"/>
  <c r="BA7" i="1" s="1"/>
  <c r="AZ16" i="1"/>
  <c r="AZ7" i="1" s="1"/>
  <c r="AY16" i="1"/>
  <c r="AY7" i="1" s="1"/>
  <c r="AX16" i="1"/>
  <c r="AX7" i="1" s="1"/>
  <c r="AW16" i="1"/>
  <c r="AW7" i="1" s="1"/>
  <c r="AV16" i="1"/>
  <c r="AV7" i="1" s="1"/>
  <c r="AU16" i="1"/>
  <c r="AU7" i="1" s="1"/>
  <c r="AT16" i="1"/>
  <c r="AT7" i="1" s="1"/>
  <c r="AS16" i="1"/>
  <c r="AS7" i="1" s="1"/>
  <c r="AR16" i="1"/>
  <c r="AR7" i="1" s="1"/>
  <c r="AQ16" i="1"/>
  <c r="AQ7" i="1" s="1"/>
  <c r="AP16" i="1"/>
  <c r="AP7" i="1" s="1"/>
  <c r="AO16" i="1"/>
  <c r="AO7" i="1" s="1"/>
  <c r="AN16" i="1"/>
  <c r="AN7" i="1" s="1"/>
  <c r="AM16" i="1"/>
  <c r="AM7" i="1" s="1"/>
  <c r="AL16" i="1"/>
  <c r="AL7" i="1" s="1"/>
  <c r="AK16" i="1"/>
  <c r="AK7" i="1" s="1"/>
  <c r="AJ16" i="1"/>
  <c r="AJ7" i="1" s="1"/>
  <c r="AI16" i="1"/>
  <c r="AI7" i="1" s="1"/>
  <c r="AH16" i="1"/>
  <c r="AH7" i="1" s="1"/>
  <c r="AG16" i="1"/>
  <c r="AG7" i="1" s="1"/>
  <c r="AF16" i="1"/>
  <c r="AF7" i="1" s="1"/>
  <c r="BC15" i="1"/>
  <c r="BC6" i="1" s="1"/>
  <c r="BB15" i="1"/>
  <c r="BB6" i="1" s="1"/>
  <c r="BA15" i="1"/>
  <c r="BA6" i="1" s="1"/>
  <c r="AZ15" i="1"/>
  <c r="AZ6" i="1" s="1"/>
  <c r="AY15" i="1"/>
  <c r="AY6" i="1" s="1"/>
  <c r="AX15" i="1"/>
  <c r="AX6" i="1" s="1"/>
  <c r="AW15" i="1"/>
  <c r="AW6" i="1" s="1"/>
  <c r="AV15" i="1"/>
  <c r="AV6" i="1" s="1"/>
  <c r="AU15" i="1"/>
  <c r="AU6" i="1" s="1"/>
  <c r="AT15" i="1"/>
  <c r="AT6" i="1" s="1"/>
  <c r="AS15" i="1"/>
  <c r="AS6" i="1" s="1"/>
  <c r="AR15" i="1"/>
  <c r="AR6" i="1" s="1"/>
  <c r="AQ15" i="1"/>
  <c r="AQ6" i="1" s="1"/>
  <c r="AP15" i="1"/>
  <c r="AP6" i="1" s="1"/>
  <c r="AO15" i="1"/>
  <c r="AO6" i="1" s="1"/>
  <c r="AN15" i="1"/>
  <c r="AN6" i="1" s="1"/>
  <c r="AM15" i="1"/>
  <c r="AM6" i="1" s="1"/>
  <c r="AL15" i="1"/>
  <c r="AL6" i="1" s="1"/>
  <c r="AK15" i="1"/>
  <c r="AK6" i="1" s="1"/>
  <c r="AJ15" i="1"/>
  <c r="AJ6" i="1" s="1"/>
  <c r="AI15" i="1"/>
  <c r="AI6" i="1" s="1"/>
  <c r="AH15" i="1"/>
  <c r="AH6" i="1" s="1"/>
  <c r="AG15" i="1"/>
  <c r="AG6" i="1" s="1"/>
  <c r="AF15" i="1"/>
  <c r="AF6" i="1" s="1"/>
  <c r="BC14" i="1"/>
  <c r="BC5" i="1" s="1"/>
  <c r="BB14" i="1"/>
  <c r="BB5" i="1" s="1"/>
  <c r="BA14" i="1"/>
  <c r="BA5" i="1" s="1"/>
  <c r="AZ14" i="1"/>
  <c r="AZ5" i="1" s="1"/>
  <c r="AY14" i="1"/>
  <c r="AY5" i="1" s="1"/>
  <c r="AX14" i="1"/>
  <c r="AX5" i="1" s="1"/>
  <c r="AW14" i="1"/>
  <c r="AW5" i="1" s="1"/>
  <c r="AV14" i="1"/>
  <c r="AV5" i="1" s="1"/>
  <c r="AU14" i="1"/>
  <c r="AU5" i="1" s="1"/>
  <c r="AT14" i="1"/>
  <c r="AT5" i="1" s="1"/>
  <c r="AS14" i="1"/>
  <c r="AS5" i="1" s="1"/>
  <c r="AR14" i="1"/>
  <c r="AR5" i="1" s="1"/>
  <c r="AQ14" i="1"/>
  <c r="AQ5" i="1" s="1"/>
  <c r="AP14" i="1"/>
  <c r="AP5" i="1" s="1"/>
  <c r="AO14" i="1"/>
  <c r="AO5" i="1" s="1"/>
  <c r="AN14" i="1"/>
  <c r="AN5" i="1" s="1"/>
  <c r="AM14" i="1"/>
  <c r="AM5" i="1" s="1"/>
  <c r="AL14" i="1"/>
  <c r="AL5" i="1" s="1"/>
  <c r="AK14" i="1"/>
  <c r="AK5" i="1" s="1"/>
  <c r="AJ14" i="1"/>
  <c r="AJ5" i="1" s="1"/>
  <c r="AI14" i="1"/>
  <c r="AI5" i="1" s="1"/>
  <c r="AH14" i="1"/>
  <c r="AH5" i="1" s="1"/>
  <c r="AG14" i="1"/>
  <c r="AG5" i="1" s="1"/>
  <c r="AF14" i="1"/>
  <c r="AF5" i="1" s="1"/>
  <c r="AB14" i="1"/>
  <c r="BE6" i="1" l="1"/>
  <c r="BF8" i="1"/>
  <c r="BF6" i="1"/>
  <c r="BF7" i="1"/>
  <c r="BG8" i="1"/>
  <c r="BF5" i="1"/>
  <c r="BG7" i="1"/>
  <c r="BD8" i="1"/>
  <c r="BE5" i="1"/>
  <c r="BE7" i="1"/>
  <c r="BD5" i="1"/>
  <c r="BG6" i="1"/>
  <c r="BG5" i="1"/>
  <c r="BD7" i="1"/>
  <c r="BE8" i="1"/>
  <c r="BD6" i="1"/>
  <c r="BD17" i="1"/>
  <c r="BD14" i="1"/>
  <c r="BE15" i="1"/>
  <c r="BE14" i="1"/>
  <c r="BG16" i="1"/>
  <c r="AE26" i="1"/>
  <c r="AB23" i="1"/>
  <c r="AD26" i="1"/>
  <c r="AC26" i="1"/>
  <c r="AB26" i="1"/>
  <c r="AE25" i="1"/>
  <c r="AD25" i="1"/>
  <c r="AC25" i="1"/>
  <c r="AB25" i="1"/>
  <c r="AE24" i="1"/>
  <c r="AD24" i="1"/>
  <c r="AC24" i="1"/>
  <c r="AB24" i="1"/>
  <c r="AE23" i="1"/>
  <c r="AD23" i="1"/>
  <c r="AC23" i="1"/>
  <c r="AC31" i="1"/>
  <c r="AD31" i="1"/>
  <c r="AE31" i="1"/>
  <c r="AC32" i="1"/>
  <c r="AD32" i="1"/>
  <c r="AE32" i="1"/>
  <c r="AC33" i="1"/>
  <c r="AD33" i="1"/>
  <c r="AE33" i="1"/>
  <c r="AC34" i="1"/>
  <c r="AD34" i="1"/>
  <c r="AE34" i="1"/>
  <c r="AB32" i="1"/>
  <c r="AB33" i="1"/>
  <c r="AB34" i="1"/>
  <c r="AC14" i="1" l="1"/>
  <c r="AC17" i="1"/>
  <c r="AD14" i="1"/>
  <c r="AE15" i="1"/>
  <c r="AD17" i="1"/>
  <c r="AD15" i="1"/>
  <c r="BD16" i="1"/>
  <c r="AB17" i="1"/>
  <c r="AB16" i="1"/>
  <c r="BG15" i="1"/>
  <c r="BF15" i="1"/>
  <c r="AB15" i="1"/>
  <c r="AE16" i="1"/>
  <c r="BG17" i="1"/>
  <c r="BF16" i="1"/>
  <c r="AD16" i="1"/>
  <c r="AC15" i="1"/>
  <c r="AE14" i="1"/>
  <c r="BF17" i="1"/>
  <c r="BE16" i="1"/>
  <c r="BD15" i="1"/>
  <c r="BG14" i="1"/>
  <c r="BE17" i="1"/>
  <c r="BF14" i="1"/>
  <c r="AE17" i="1"/>
  <c r="AC16" i="1"/>
</calcChain>
</file>

<file path=xl/sharedStrings.xml><?xml version="1.0" encoding="utf-8"?>
<sst xmlns="http://schemas.openxmlformats.org/spreadsheetml/2006/main" count="2405" uniqueCount="347">
  <si>
    <t>Одноставочный тариф</t>
  </si>
  <si>
    <t>1-е пол. 2014</t>
  </si>
  <si>
    <t>ВН</t>
  </si>
  <si>
    <t>СН-I</t>
  </si>
  <si>
    <t>CH-II</t>
  </si>
  <si>
    <t>НН</t>
  </si>
  <si>
    <t>менее 150 квт</t>
  </si>
  <si>
    <t>руб./МВт∙ч</t>
  </si>
  <si>
    <t>от 150 до 670 квт</t>
  </si>
  <si>
    <t>от 670 квт до 10 МВт</t>
  </si>
  <si>
    <t>не менее 10 МВт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</si>
  <si>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</si>
  <si>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</si>
  <si>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</si>
  <si>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</si>
  <si>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</si>
  <si>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</si>
  <si>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</si>
  <si>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</si>
  <si>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</si>
  <si>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</si>
  <si>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</si>
  <si>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</si>
  <si>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2014 год факт</t>
  </si>
  <si>
    <t xml:space="preserve">2-е пол. </t>
  </si>
  <si>
    <t>2-е пол. 2015</t>
  </si>
  <si>
    <t>1 полугодие</t>
  </si>
  <si>
    <t>2 полугодие</t>
  </si>
  <si>
    <t>Предельные уровни прогнозных нерегулируемых цен на электрическую энергию (мощность), поставляемую ЗАО "Витимэнергосбыт" потребителям (покупателям) в 2015 г. Одноставочный тариф.</t>
  </si>
  <si>
    <t>Предельные уровни прогнозных нерегулируемых цен на электрическую энергию (мощность), поставляемую ЗАО "Витимэнергосбыт" потребителям (покупателям)  в 2016 г. Одноставочный тариф.</t>
  </si>
  <si>
    <t>Экономист по финансовой работе:                                                                                             Т.С. Зимина</t>
  </si>
  <si>
    <t>Предельные уровни фактическихх нерегулируемых цен на электрическую энергию (мощность), поставляемую ЗАО "Витимэнергосбыт" потребителям (покупателям) в 2015 г. Одноставочный тариф.</t>
  </si>
  <si>
    <t>факт роста цен с 2014 на 2015г в %</t>
  </si>
  <si>
    <t>%</t>
  </si>
  <si>
    <t xml:space="preserve">Предельные уровни прогнозных нерегулируемых цен на электрическую энергию (мощность), поставляемую ЗАО "Витимэнергосбыт" потребителям (покупателям)  в 2016 г. Одноставочный тариф, соответственно с ростом цен предыдушего периода </t>
  </si>
  <si>
    <t>коэф-т 11,5</t>
  </si>
  <si>
    <t>(коэф-т Минэнерго 109,6)</t>
  </si>
  <si>
    <t>Данные для расчета коэффициента оплаты мощности для потребителей ЗАО "Витимэнергосбыт", рассчитывающихся по первой ценовой категории</t>
  </si>
  <si>
    <t>Объем фактического пикового потребления мощности, купленный ЗАО "ВИТИМЭНЕРГОСБЫТ"на ОРЭМ, МВт</t>
  </si>
  <si>
    <t>Объем фактического пикового потребления мощности, купленный ЗАО "ВИТИМЭНЕРГОСБЫТ"на РРМ, МВт</t>
  </si>
  <si>
    <t>Объем мощности, потребленной потребителями ЗАО "ВИТИМЭНЕРГОСБЫТ", рассчитывающимися по второй-шестой ценовой категории, МВт</t>
  </si>
  <si>
    <t>Объем мощности, потребленной населением и приравненными к нему потребителями, по прогнозному балансу, МВт***</t>
  </si>
  <si>
    <t>Фактический объем электроэнергии, купленный на ОРЭМ, МВт*ч</t>
  </si>
  <si>
    <t>Фактический объем электроэнергии, купленный на РРМ, МВт</t>
  </si>
  <si>
    <t xml:space="preserve"> Объем электроэнергии, потребленный населением и приравненными к нему потребителями по прогнозному балансу, МВтч***</t>
  </si>
  <si>
    <t>Объем электроэнергии, потребленной потребителями, рассчитывающимися по второй-шестой ценовой категории, МВтч</t>
  </si>
  <si>
    <t>*</t>
  </si>
  <si>
    <t>Vp орэм</t>
  </si>
  <si>
    <t>+</t>
  </si>
  <si>
    <t>Vp ррм</t>
  </si>
  <si>
    <t>-</t>
  </si>
  <si>
    <r>
      <t xml:space="preserve">(Vp </t>
    </r>
    <r>
      <rPr>
        <sz val="10"/>
        <color theme="1"/>
        <rFont val="Calibri"/>
        <family val="2"/>
        <charset val="204"/>
        <scheme val="minor"/>
      </rPr>
      <t>2-6</t>
    </r>
  </si>
  <si>
    <r>
      <t xml:space="preserve">Vр </t>
    </r>
    <r>
      <rPr>
        <sz val="10"/>
        <color theme="1"/>
        <rFont val="Calibri"/>
        <family val="2"/>
        <charset val="204"/>
        <scheme val="minor"/>
      </rPr>
      <t>насел.</t>
    </r>
    <r>
      <rPr>
        <sz val="20"/>
        <color theme="1"/>
        <rFont val="Calibri"/>
        <family val="2"/>
        <charset val="204"/>
        <scheme val="minor"/>
      </rPr>
      <t>)</t>
    </r>
  </si>
  <si>
    <t>Ком</t>
  </si>
  <si>
    <t>=</t>
  </si>
  <si>
    <t>Vээ орэм</t>
  </si>
  <si>
    <t>Vээ ррм</t>
  </si>
  <si>
    <r>
      <t xml:space="preserve">(Vээ </t>
    </r>
    <r>
      <rPr>
        <sz val="10"/>
        <color theme="1"/>
        <rFont val="Calibri"/>
        <family val="2"/>
        <charset val="204"/>
        <scheme val="minor"/>
      </rPr>
      <t>насел.</t>
    </r>
  </si>
  <si>
    <r>
      <t xml:space="preserve">Vээ </t>
    </r>
    <r>
      <rPr>
        <sz val="10"/>
        <color theme="1"/>
        <rFont val="Calibri"/>
        <family val="2"/>
        <charset val="204"/>
        <scheme val="minor"/>
      </rPr>
      <t>2-6</t>
    </r>
    <r>
      <rPr>
        <sz val="20"/>
        <color theme="1"/>
        <rFont val="Calibri"/>
        <family val="2"/>
        <charset val="204"/>
        <scheme val="minor"/>
      </rPr>
      <t>)</t>
    </r>
  </si>
  <si>
    <t>Коэффициент оплаты мощности для потребителей ЗАО "Витимэнергосбыт", рассчитывающихся по первой ценовой категории</t>
  </si>
  <si>
    <t>118032,21</t>
  </si>
  <si>
    <t>33173,15</t>
  </si>
  <si>
    <t>макс. 0.002087</t>
  </si>
  <si>
    <t>Стоимость покупки электроэнергии для расчета предельной цены для потребителей, рассчитывающихся по первой ценовой категории</t>
  </si>
  <si>
    <t>ставка на ЭЭ</t>
  </si>
  <si>
    <t>575,75</t>
  </si>
  <si>
    <t>ставка на М</t>
  </si>
  <si>
    <t>цена покупки</t>
  </si>
  <si>
    <t>*Постановление № 442 от 4 мая 2012г. п.88 "Основные положения функционирования розничных рынков электрической энергии"</t>
  </si>
  <si>
    <t>**Постановление Правительства РФ от 29 декабря 2011 г. N 1179 п.9.1 "Об определении и применении гарантирующими поставщиками нерегулируемых цен на электрическую энергию (мощность)"</t>
  </si>
  <si>
    <t>***Приказ Федеральной службы по тарифам от 27 ноября 2014 года № 276-э/1 (от 28 мая 2015 года № 1083-э)</t>
  </si>
  <si>
    <t>Расчет затрат на услуги по передаче  в 2016 году</t>
  </si>
  <si>
    <t>Тарифы</t>
  </si>
  <si>
    <t>Приказ Службы по тарифам Иркутской области от 26.12.2014г. № 767-СПР "Об установлении единых (котловых) тарифов на услуги по передаче ээ на территории Иркутской области с 1 января 2015 года.</t>
  </si>
  <si>
    <t>Наименование</t>
  </si>
  <si>
    <t>Ед.изм.</t>
  </si>
  <si>
    <t>1 полугодие 2016г.</t>
  </si>
  <si>
    <t>Дефлятор</t>
  </si>
  <si>
    <t>2 полугодие 2016г.</t>
  </si>
  <si>
    <t>руб./МВт.ч.</t>
  </si>
  <si>
    <t>СН1</t>
  </si>
  <si>
    <t>СН2</t>
  </si>
  <si>
    <t>Население  (в т.ч. по тарифу населения)</t>
  </si>
  <si>
    <t>Двухставочный  тариф</t>
  </si>
  <si>
    <t>ставка за оплату технологического расхода (потерь) в электрических сетях</t>
  </si>
  <si>
    <t>ставка за содержание электрических сетей</t>
  </si>
  <si>
    <t>руб./МВт.мес</t>
  </si>
  <si>
    <t>Одноставочный</t>
  </si>
  <si>
    <t>Двухставочный</t>
  </si>
  <si>
    <t>Население</t>
  </si>
  <si>
    <t>Итого ээ, руб</t>
  </si>
  <si>
    <t>Мощность</t>
  </si>
  <si>
    <t>Итого м, руб</t>
  </si>
  <si>
    <t>Всего передача, руб</t>
  </si>
  <si>
    <t>Период</t>
  </si>
  <si>
    <t>Электроэнергия ВН, МВтч</t>
  </si>
  <si>
    <t>Стоимость ВН, руб</t>
  </si>
  <si>
    <t>Электроэнергия СН1, МВтч</t>
  </si>
  <si>
    <t>Стоимость СН1, руб</t>
  </si>
  <si>
    <t>Электроэнергия СН2, МВтч</t>
  </si>
  <si>
    <t>Стоимость СН2, руб</t>
  </si>
  <si>
    <t>Электроэнергия НН, МВтч</t>
  </si>
  <si>
    <t>Стоимость НН, руб</t>
  </si>
  <si>
    <t>Элетроэнергия население, МВтч</t>
  </si>
  <si>
    <t>Стоимость население, руб</t>
  </si>
  <si>
    <t>Мощность ВН, МВтч</t>
  </si>
  <si>
    <t>Мощность СН1, МВтч</t>
  </si>
  <si>
    <t>Мощность СН2, МВтч</t>
  </si>
  <si>
    <t>Мощность НН, МВтч</t>
  </si>
  <si>
    <t>1 кварт</t>
  </si>
  <si>
    <t>1-е полугодие</t>
  </si>
  <si>
    <t>3 кварт</t>
  </si>
  <si>
    <t>2-е полугодие</t>
  </si>
  <si>
    <t>год</t>
  </si>
  <si>
    <t>Расчет затрат на услуги сторонних организаций в 2016 году.</t>
  </si>
  <si>
    <t>1 пол.</t>
  </si>
  <si>
    <t xml:space="preserve">Дефлятор </t>
  </si>
  <si>
    <t>2 пол.</t>
  </si>
  <si>
    <t>ОАО "АТС"</t>
  </si>
  <si>
    <t>руб/МВт*ч</t>
  </si>
  <si>
    <t>В соответствии с приказом ФСТ России от 26.11.2014 № 264-э/1 тариф на услуги коммерческого оператора, оказываемые ОАО "АТС" субъектам оптового рынка электрической энергии (мощности)</t>
  </si>
  <si>
    <t>ЗАО "ЦФР"</t>
  </si>
  <si>
    <t>Договора комиссии РСВ БР, КОМ)</t>
  </si>
  <si>
    <t>руб/мес</t>
  </si>
  <si>
    <t>ОАО "СО-ЦДУ ЕЭС"</t>
  </si>
  <si>
    <t>руб/МВт*мес</t>
  </si>
  <si>
    <t>НП "Совет рынка"</t>
  </si>
  <si>
    <t>за квартал</t>
  </si>
  <si>
    <t>Оплата услуг ОАО "АТС" и ЗАО "ЦФР" на покупку э/э</t>
  </si>
  <si>
    <t>Оплата услуг ОАО "АТС" и ЗАО "ЦФР" на продажу э/э</t>
  </si>
  <si>
    <t xml:space="preserve">Оплата за оперативно диспетчерское управление </t>
  </si>
  <si>
    <t>Договор комиссии</t>
  </si>
  <si>
    <t>Всего услуги ОАО "АТС" и ЗАО "ЦФР"</t>
  </si>
  <si>
    <t>НП "Совет рынка",                                тыс. руб.</t>
  </si>
  <si>
    <t>Услуги связи по маршрутизации данных коммерческого учета э/э (спутниковые каналы связи)                            ООО "Эквант" тыс.руб.</t>
  </si>
  <si>
    <t>Услуги связи по маршрутизации данных коммерческого учета э/э (спутниковые каналы связи)                            ЗАО "Рэйс Телеком" тыс.руб.</t>
  </si>
  <si>
    <t>Итого затрат на услуги сторонных организаций</t>
  </si>
  <si>
    <t>Биржа "АРЕНА"</t>
  </si>
  <si>
    <t>Оплата услуг ОАО "АТС" и ЗАО "ЦФР" на покупку э/э всего</t>
  </si>
  <si>
    <t>месяц</t>
  </si>
  <si>
    <t>объем э/э    МВт*ч</t>
  </si>
  <si>
    <t>ОАО "АТС",    тыс.руб.</t>
  </si>
  <si>
    <t>ЗАО "ЦФР",     тыс.руб.</t>
  </si>
  <si>
    <t>ОАО "СО- ЕЭС"             тыс.руб</t>
  </si>
  <si>
    <t>Установленная мощность МГЭС, МВт</t>
  </si>
  <si>
    <t>ОАО "СО-ЕЭС"             тыс.руб</t>
  </si>
  <si>
    <t>затраты на мощность</t>
  </si>
  <si>
    <t>затраты с услугой</t>
  </si>
  <si>
    <t>1 квартал</t>
  </si>
  <si>
    <t>2 квартал</t>
  </si>
  <si>
    <t>3 квартал</t>
  </si>
  <si>
    <t>4 квартал</t>
  </si>
  <si>
    <t>итого год</t>
  </si>
  <si>
    <t>Расчетный период</t>
  </si>
  <si>
    <t>Потери</t>
  </si>
  <si>
    <t>Прочие потребители 1ЦК всего в т.ч.:</t>
  </si>
  <si>
    <t>до 150 кВт</t>
  </si>
  <si>
    <t>от 150 до 670 кВт</t>
  </si>
  <si>
    <t>от 670 кВт до 10 МВт</t>
  </si>
  <si>
    <t>более 10 МВт</t>
  </si>
  <si>
    <t>ВСЕГО</t>
  </si>
  <si>
    <t>ДП, %</t>
  </si>
  <si>
    <t>План</t>
  </si>
  <si>
    <t>Сверх плана</t>
  </si>
  <si>
    <t>Январь, кВт*ч</t>
  </si>
  <si>
    <t>СН, руб.кВт*ч</t>
  </si>
  <si>
    <t>СН, руб.</t>
  </si>
  <si>
    <t>Февраль, кВт*ч</t>
  </si>
  <si>
    <t>Крег</t>
  </si>
  <si>
    <t>Март, кВт*ч</t>
  </si>
  <si>
    <t>Ц</t>
  </si>
  <si>
    <t>Апрель, кВт*ч</t>
  </si>
  <si>
    <t>Май, кВт*ч</t>
  </si>
  <si>
    <t>Июнь, кВт*ч</t>
  </si>
  <si>
    <t>Июль, кВт*ч</t>
  </si>
  <si>
    <t>Август, кВт*ч</t>
  </si>
  <si>
    <t>Сентябрь, кВт*ч</t>
  </si>
  <si>
    <t>Октябрь, кВт*ч</t>
  </si>
  <si>
    <t>Ноябрь, кВт*ч</t>
  </si>
  <si>
    <t>Декабрь, кВт*ч</t>
  </si>
  <si>
    <t>Итого</t>
  </si>
  <si>
    <t>кВт*ч.</t>
  </si>
  <si>
    <t>СН, тыс.руб.</t>
  </si>
  <si>
    <t>Электроэнергия всего, МВтч</t>
  </si>
  <si>
    <t>Мощность всего, МВтч</t>
  </si>
  <si>
    <t>Мощность, МВт</t>
  </si>
  <si>
    <t>1 кв</t>
  </si>
  <si>
    <t>2 кв</t>
  </si>
  <si>
    <t>3 кв</t>
  </si>
  <si>
    <t>4 кв</t>
  </si>
  <si>
    <t>Более 10 МВт</t>
  </si>
  <si>
    <t>от 150 кВт до 670 кВт</t>
  </si>
  <si>
    <t>Все категории потребителей</t>
  </si>
  <si>
    <t>Население Бодайб-го р-на</t>
  </si>
  <si>
    <t>Прочие Мамаско-Чуйский         р-н</t>
  </si>
  <si>
    <t>Население Мамско- Чуйского    р-на</t>
  </si>
  <si>
    <t>Всего</t>
  </si>
  <si>
    <t>Предложение в прогнозный баланс ЗАО "Витимэнергосбыт" на 2016 год.</t>
  </si>
  <si>
    <t xml:space="preserve">                 (производство и реализация в натуральном выражении) тыс.кВтч.</t>
  </si>
  <si>
    <t>Мамаканская ГЭС</t>
  </si>
  <si>
    <t>Поступление в сеть</t>
  </si>
  <si>
    <t>переток мощности из сетей ФСК, МВт</t>
  </si>
  <si>
    <t>Поступление в сеть ВЭ</t>
  </si>
  <si>
    <t>Потери в сетях ВЭ, тыс.кВт*ч</t>
  </si>
  <si>
    <t>Потери в сетях ВЭ в %</t>
  </si>
  <si>
    <t xml:space="preserve">отпуск </t>
  </si>
  <si>
    <t>Отпуск потребителям всего</t>
  </si>
  <si>
    <t>Бодайбо</t>
  </si>
  <si>
    <t>Мама</t>
  </si>
  <si>
    <t>в сеть ФСК</t>
  </si>
  <si>
    <t xml:space="preserve">выработка </t>
  </si>
  <si>
    <t>СН</t>
  </si>
  <si>
    <t>потери в ГТ</t>
  </si>
  <si>
    <t xml:space="preserve">от ЗАО МГЭС </t>
  </si>
  <si>
    <t xml:space="preserve"> выработка ДЭС</t>
  </si>
  <si>
    <t>от ФСК</t>
  </si>
  <si>
    <t>дефицит электроэнергии</t>
  </si>
  <si>
    <t xml:space="preserve">Всего Бодайбо </t>
  </si>
  <si>
    <t>в т.ч. ГОК "Вернинский" от ВЛ Пеледуй - Чертово Корыто</t>
  </si>
  <si>
    <t>в т.ч. население Бодайбо</t>
  </si>
  <si>
    <t>Всего Мама</t>
  </si>
  <si>
    <t>в т.ч. население Мама</t>
  </si>
  <si>
    <t>2 кварт</t>
  </si>
  <si>
    <t>с нач. года</t>
  </si>
  <si>
    <t>4 кварт</t>
  </si>
  <si>
    <t>покупка ээ на орэм</t>
  </si>
  <si>
    <t xml:space="preserve">-средневзв. стоимость э/э(м) :  </t>
  </si>
  <si>
    <t>- услуги по передаче</t>
  </si>
  <si>
    <t xml:space="preserve">до 150 кВт </t>
  </si>
  <si>
    <t>плата за иные услуги</t>
  </si>
  <si>
    <t>1211,68</t>
  </si>
  <si>
    <t>277266,37</t>
  </si>
  <si>
    <t>1251,11</t>
  </si>
  <si>
    <t>266355,68</t>
  </si>
  <si>
    <t>Расчет покупки э/э (м) на ОПТ для потребителей Бодайбинского района в 2016 году.</t>
  </si>
  <si>
    <t>Прогнозные коэффициенты резервирования</t>
  </si>
  <si>
    <t>согласно регламента</t>
  </si>
  <si>
    <t>Коэффициенты либерализации на 2016 год</t>
  </si>
  <si>
    <t>январь-июнь</t>
  </si>
  <si>
    <t>июль-декабрь</t>
  </si>
  <si>
    <t>пргнозные цены за э/э и мощность</t>
  </si>
  <si>
    <t>РД</t>
  </si>
  <si>
    <t>РСВ</t>
  </si>
  <si>
    <t>БР</t>
  </si>
  <si>
    <t>КОМ</t>
  </si>
  <si>
    <t>ДПМ</t>
  </si>
  <si>
    <t>ВР</t>
  </si>
  <si>
    <t>дефлятор</t>
  </si>
  <si>
    <t>э/э, руб</t>
  </si>
  <si>
    <t>мощность, руб</t>
  </si>
  <si>
    <t xml:space="preserve">Фактические цены 2014 г. с применением дефлятора </t>
  </si>
  <si>
    <t>полный объем без БР</t>
  </si>
  <si>
    <t xml:space="preserve">РД </t>
  </si>
  <si>
    <t>Итого затрат на ОРЭМ на покупку э/э и мощности, тыс.руб.</t>
  </si>
  <si>
    <t>Ср.тариф, руб</t>
  </si>
  <si>
    <t>э/э         млн. кВт*ч</t>
  </si>
  <si>
    <t>мощность , МВт</t>
  </si>
  <si>
    <t>э/э население, млн. кВт*ч</t>
  </si>
  <si>
    <t>мощность население, МВт</t>
  </si>
  <si>
    <t>полная мощность с коэфф. Резервирования, МВт</t>
  </si>
  <si>
    <t>Э/э    млн.кВт*ч</t>
  </si>
  <si>
    <t>стоимость, тыс. руб</t>
  </si>
  <si>
    <t>мощность МВт</t>
  </si>
  <si>
    <t xml:space="preserve">январь </t>
  </si>
  <si>
    <t>Объем покупки мощности, 
МВт</t>
  </si>
  <si>
    <t>население</t>
  </si>
  <si>
    <t>Покупка мощности с ОРЭМ</t>
  </si>
  <si>
    <t>Средняя  нагрузка потребления 2016</t>
  </si>
  <si>
    <t xml:space="preserve"> </t>
  </si>
  <si>
    <t>прогнозное значение стоимости мощности на 1 МВт пикового потреблени, руб/МВт. (по данным Совета Рынка от 31.10.2015г)</t>
  </si>
  <si>
    <t>прогноз индексов цен покупки на рсв по полугодиям</t>
  </si>
  <si>
    <t>ОТ 10мВт</t>
  </si>
  <si>
    <t>объем</t>
  </si>
  <si>
    <t>сумма без НДС</t>
  </si>
  <si>
    <t>ноябрь факт 2014</t>
  </si>
  <si>
    <t>декабрь факт 2014</t>
  </si>
  <si>
    <t>Предельные уровни прогнозных нерегулируемых цен на электрическую энергию (мощность), поставляемую АО "Витимэнергосбыт" потребителям (покупателям)  в 2016 г. Одноставочный тариф</t>
  </si>
  <si>
    <t>Предельные уровни фактическихх нерегулируемых цен на электрическую энергию (мощность), поставляемую ЗАО "Витимэнергосбыт" потребителям (покупателям) в 2014 г. Одноставочный тариф.</t>
  </si>
  <si>
    <t>Предельные уровни прогнозных нерегулируемых цен на электрическую энергию (мощность), поставляемую ЗАО "Витимэнергосбыт" потребителям (покупателям) в 2014 г. Одноставочный тариф.</t>
  </si>
  <si>
    <t>Прогнозная цена считается как произведение фактической цены прошлого периода и индекса-дефлятора(по данным Минэнерго)</t>
  </si>
  <si>
    <t>А фактическая цена зависит от средневзвешенной цены покупки электроэнергии и мощности на оптовом рынке электроэнергии, которая в свою очередь зависит от спроса и предложения генераторов на ОРЭМ.</t>
  </si>
  <si>
    <t>Изменение цен (тарифов) на продукцию (услуги) компаний инфраструктурного сектора до 2017 года 
(в %, в среднем за год к предыдущему году)</t>
  </si>
  <si>
    <t xml:space="preserve">                                                                                                                                                              </t>
  </si>
  <si>
    <t>отчет</t>
  </si>
  <si>
    <t>оценка</t>
  </si>
  <si>
    <t>прогноз</t>
  </si>
  <si>
    <r>
      <t>Газ природный</t>
    </r>
    <r>
      <rPr>
        <b/>
        <sz val="13"/>
        <rFont val="Times New Roman"/>
        <family val="1"/>
        <charset val="204"/>
      </rPr>
      <t xml:space="preserve"> (оптовые цены) </t>
    </r>
    <r>
      <rPr>
        <sz val="13"/>
        <rFont val="Times New Roman"/>
        <family val="1"/>
        <charset val="204"/>
      </rPr>
      <t>в среднем, в %</t>
    </r>
    <r>
      <rPr>
        <b/>
        <sz val="13"/>
        <rFont val="Times New Roman"/>
        <family val="1"/>
        <charset val="204"/>
      </rPr>
      <t xml:space="preserve"> для всех категорий потребителей</t>
    </r>
  </si>
  <si>
    <t>рост цен для потребителей, исключая население, %</t>
  </si>
  <si>
    <t xml:space="preserve">   размеры индексации тарифов</t>
  </si>
  <si>
    <t>июль 15%</t>
  </si>
  <si>
    <t>июль 0%</t>
  </si>
  <si>
    <t>июль 7,5%</t>
  </si>
  <si>
    <t>июль 5,5%</t>
  </si>
  <si>
    <t>июль 3,6%</t>
  </si>
  <si>
    <r>
      <t>рост цен для населения</t>
    </r>
    <r>
      <rPr>
        <sz val="36"/>
        <color indexed="8"/>
        <rFont val="Arial"/>
        <family val="2"/>
        <charset val="204"/>
      </rPr>
      <t/>
    </r>
  </si>
  <si>
    <t>июль 4,2%</t>
  </si>
  <si>
    <t>июль 4,5%</t>
  </si>
  <si>
    <r>
      <t xml:space="preserve">Электроэнергия </t>
    </r>
    <r>
      <rPr>
        <b/>
        <sz val="12"/>
        <rFont val="Times New Roman"/>
        <family val="1"/>
        <charset val="204"/>
      </rPr>
      <t xml:space="preserve">(цены на розничном рынке) </t>
    </r>
    <r>
      <rPr>
        <b/>
        <sz val="11"/>
        <rFont val="Times New Roman"/>
        <family val="1"/>
        <charset val="204"/>
      </rPr>
      <t xml:space="preserve">
</t>
    </r>
    <r>
      <rPr>
        <b/>
        <sz val="13"/>
        <rFont val="Times New Roman"/>
        <family val="1"/>
        <charset val="204"/>
      </rPr>
      <t>- для всех категорий потребителей</t>
    </r>
  </si>
  <si>
    <r>
      <t>108,8</t>
    </r>
    <r>
      <rPr>
        <b/>
        <vertAlign val="superscript"/>
        <sz val="12"/>
        <rFont val="Times New Roman"/>
        <family val="1"/>
        <charset val="204"/>
      </rPr>
      <t>1</t>
    </r>
  </si>
  <si>
    <t>107-107,2</t>
  </si>
  <si>
    <t>108,2-108,4</t>
  </si>
  <si>
    <t>109,0-109,2</t>
  </si>
  <si>
    <t>108,0-108,3</t>
  </si>
  <si>
    <t>рост цен на розничном рынке для потребителей, исключая население, %</t>
  </si>
  <si>
    <t>106,8-107,2</t>
  </si>
  <si>
    <t>108,7-108,9</t>
  </si>
  <si>
    <t>109,4-109,6</t>
  </si>
  <si>
    <t>108,6-108,8</t>
  </si>
  <si>
    <t>рост цен на оптовом рынке, %</t>
  </si>
  <si>
    <t>111</t>
  </si>
  <si>
    <t>108,3</t>
  </si>
  <si>
    <t>110,3-110,5</t>
  </si>
  <si>
    <t>110-110,2</t>
  </si>
  <si>
    <t>109,3-109,5</t>
  </si>
  <si>
    <t>рост регулируемых тарифов сетевых организаций</t>
  </si>
  <si>
    <r>
      <t>107,2</t>
    </r>
    <r>
      <rPr>
        <b/>
        <vertAlign val="superscript"/>
        <sz val="13"/>
        <rFont val="Times New Roman"/>
        <family val="1"/>
        <charset val="204"/>
      </rPr>
      <t>1</t>
    </r>
  </si>
  <si>
    <t>июль 10%</t>
  </si>
  <si>
    <r>
      <t>рост тарифов для населения, %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(кроме электроэнергии, отпускаемой сверх социальной нормы потребления с 2014 г.)  </t>
    </r>
    <r>
      <rPr>
        <b/>
        <sz val="12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   </t>
    </r>
    <r>
      <rPr>
        <b/>
        <sz val="13"/>
        <rFont val="Times New Roman"/>
        <family val="1"/>
        <charset val="204"/>
      </rPr>
      <t xml:space="preserve">            </t>
    </r>
  </si>
  <si>
    <t>июль 12,8%</t>
  </si>
  <si>
    <t>июль 8,5%</t>
  </si>
  <si>
    <t>июль 6,5%</t>
  </si>
  <si>
    <t xml:space="preserve">июль5,5% </t>
  </si>
  <si>
    <t>Тепловая энергия</t>
  </si>
  <si>
    <r>
      <t>109,7</t>
    </r>
    <r>
      <rPr>
        <b/>
        <u/>
        <vertAlign val="superscript"/>
        <sz val="13"/>
        <rFont val="Times New Roman"/>
        <family val="1"/>
        <charset val="204"/>
      </rPr>
      <t>3</t>
    </r>
    <r>
      <rPr>
        <b/>
        <sz val="13"/>
        <rFont val="Times New Roman"/>
        <family val="1"/>
        <charset val="204"/>
      </rPr>
      <t xml:space="preserve">
111</t>
    </r>
    <r>
      <rPr>
        <b/>
        <vertAlign val="superscript"/>
        <sz val="13"/>
        <rFont val="Times New Roman"/>
        <family val="1"/>
        <charset val="204"/>
      </rPr>
      <t>2, 4</t>
    </r>
  </si>
  <si>
    <r>
      <t>107,6</t>
    </r>
    <r>
      <rPr>
        <b/>
        <vertAlign val="superscript"/>
        <sz val="13"/>
        <rFont val="Times New Roman"/>
        <family val="1"/>
        <charset val="204"/>
      </rPr>
      <t>3</t>
    </r>
  </si>
  <si>
    <r>
      <t>июль 10%</t>
    </r>
    <r>
      <rPr>
        <i/>
        <vertAlign val="superscript"/>
        <sz val="13"/>
        <rFont val="Times New Roman"/>
        <family val="1"/>
        <charset val="204"/>
      </rPr>
      <t xml:space="preserve"> </t>
    </r>
  </si>
  <si>
    <r>
      <t xml:space="preserve">Железнодорожные перевозки грузов </t>
    </r>
    <r>
      <rPr>
        <sz val="13"/>
        <rFont val="Times New Roman"/>
        <family val="1"/>
        <charset val="204"/>
      </rPr>
      <t>в регулируемом секторе</t>
    </r>
  </si>
  <si>
    <t>январь
7%</t>
  </si>
  <si>
    <t>январь
0%</t>
  </si>
  <si>
    <t>январь
10%</t>
  </si>
  <si>
    <t>январь
 5,5%</t>
  </si>
  <si>
    <t>январь
4,5%</t>
  </si>
  <si>
    <r>
      <t xml:space="preserve">Пассажирские перевозки железнодорожным транспортом </t>
    </r>
    <r>
      <rPr>
        <sz val="13"/>
        <rFont val="Times New Roman"/>
        <family val="1"/>
        <charset val="204"/>
      </rPr>
      <t>(в среднем за год, в %) в регулируемом секторе</t>
    </r>
  </si>
  <si>
    <t>январь
20%</t>
  </si>
  <si>
    <t>январь
4,2%</t>
  </si>
  <si>
    <r>
      <t>1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расчет по данным отчетов Росстата об ежемесячной динамике цен</t>
    </r>
    <r>
      <rPr>
        <sz val="10"/>
        <rFont val="Times New Roman"/>
        <family val="1"/>
        <charset val="204"/>
      </rPr>
      <t xml:space="preserve"> </t>
    </r>
  </si>
  <si>
    <r>
      <t>2</t>
    </r>
    <r>
      <rPr>
        <vertAlign val="superscript"/>
        <sz val="1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на теплоэнергию за отчетный период расчитывается сводный индекс цен исходя из ИПЦ на отопление и ИПЦ на оплату горячего водоснабжения </t>
    </r>
  </si>
  <si>
    <r>
      <t>3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 учетом ежемесячной динамики отпуска и оплаты по показаниям счетчиков в многоквартирных домах</t>
    </r>
  </si>
  <si>
    <r>
      <t>4</t>
    </r>
    <r>
      <rPr>
        <vertAlign val="superscript"/>
        <sz val="1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при линейной оплате</t>
    </r>
  </si>
  <si>
    <t xml:space="preserve">по данным Минэнерго </t>
  </si>
  <si>
    <t>прогноз цен на 2017 в соответствии с ростом цен в % с 2015г  на 2016( с июня факт цен 2015 на рост цены в % с 2014 на 2015 )</t>
  </si>
  <si>
    <t>прогноз цен на 2017 в соответствии с ростом цен в % с 2015г  на 2016( с июня план цен 2016 на рост цены в % с 2014 на 2015 )</t>
  </si>
  <si>
    <t>Предельные уровни прогнозных нерегулируемых цен на электрическую энергию (мощность), поставляемую АО "Витимэнергосбыт" потребителям (покупателям)  в 2017 г. Одноставочный тариф(индекс Минэнерго 108,8)</t>
  </si>
  <si>
    <t>СН I</t>
  </si>
  <si>
    <t>СН II</t>
  </si>
  <si>
    <t>расчетные данные</t>
  </si>
  <si>
    <t>Предельные уровни прогнозных нерегулируемых цен на электрическую энергию (мощность), поставляемую АО "Витимэнергосбыт" потребителям (покупателям) в 2018 г. Одноставочный тариф, руб/МВтч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</si>
</sst>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2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_р_."/>
    <numFmt numFmtId="167" formatCode="[$-F800]dddd\,\ mmmm\ dd\,\ yyyy"/>
    <numFmt numFmtId="168" formatCode="0.0"/>
    <numFmt numFmtId="169" formatCode="0.000"/>
    <numFmt numFmtId="170" formatCode="0.0000"/>
    <numFmt numFmtId="171" formatCode="0.00000"/>
    <numFmt numFmtId="172" formatCode="_-* #,##0.000_р_._-;\-* #,##0.000_р_._-;_-* &quot;-&quot;??_р_._-;_-@_-"/>
    <numFmt numFmtId="173" formatCode="_-* #,##0.00000_р_._-;\-* #,##0.00000_р_._-;_-* &quot;-&quot;??_р_._-;_-@_-"/>
    <numFmt numFmtId="174" formatCode="_-* #,##0.000_р_._-;\-* #,##0.000_р_._-;_-* &quot;-&quot;???_р_._-;_-@_-"/>
    <numFmt numFmtId="175" formatCode="_-* #,##0.0000_р_._-;\-* #,##0.0000_р_._-;_-* &quot;-&quot;??_р_._-;_-@_-"/>
    <numFmt numFmtId="176" formatCode="_-* #,##0.0000\ _₽_-;\-* #,##0.0000\ _₽_-;_-* &quot;-&quot;????\ _₽_-;_-@_-"/>
    <numFmt numFmtId="177" formatCode="_-* #,##0.000000_р_._-;\-* #,##0.000000_р_._-;_-* &quot;-&quot;??_р_._-;_-@_-"/>
    <numFmt numFmtId="178" formatCode="_-* #,##0.0000_р_._-;\-* #,##0.0000_р_._-;_-* &quot;-&quot;????_р_._-;_-@_-"/>
    <numFmt numFmtId="179" formatCode="0.0%"/>
    <numFmt numFmtId="180" formatCode="_-* #,##0.00_р_._-;\-* #,##0.00_р_._-;_-* &quot;-&quot;???_р_._-;_-@_-"/>
    <numFmt numFmtId="181" formatCode="#,##0.0"/>
    <numFmt numFmtId="182" formatCode="_-* #,##0.0000000_р_._-;\-* #,##0.0000000_р_._-;_-* &quot;-&quot;??_р_._-;_-@_-"/>
    <numFmt numFmtId="183" formatCode="_-* #,##0.00000000000000_р_._-;\-* #,##0.00000000000000_р_._-;_-* &quot;-&quot;??_р_._-;_-@_-"/>
    <numFmt numFmtId="184" formatCode="_-* #,##0.000000000000000_р_._-;\-* #,##0.000000000000000_р_._-;_-* &quot;-&quot;??_р_._-;_-@_-"/>
    <numFmt numFmtId="185" formatCode="_-* #,##0.000\ _₽_-;\-* #,##0.000\ _₽_-;_-* &quot;-&quot;???\ _₽_-;_-@_-"/>
    <numFmt numFmtId="186" formatCode="_(* #,##0.00_);_(* \(#,##0.00\);_(* &quot;-&quot;??_);_(@_)"/>
    <numFmt numFmtId="187" formatCode="_(* #,##0.000_);_(* \(#,##0.000\);_(* &quot;-&quot;??_);_(@_)"/>
    <numFmt numFmtId="188" formatCode="_-* #,##0.00\ _₽_-;\-* #,##0.00\ _₽_-;_-* &quot;-&quot;???\ _₽_-;_-@_-"/>
    <numFmt numFmtId="189" formatCode="_-* #,##0.000\ _₽_-;\-* #,##0.000\ _₽_-;_-* &quot;-&quot;??\ _₽_-;_-@_-"/>
    <numFmt numFmtId="190" formatCode="_-* #,##0.00000_р_._-;\-* #,##0.00000_р_._-;_-* &quot;-&quot;?????_р_._-;_-@_-"/>
    <numFmt numFmtId="191" formatCode="_-* #,##0.00000000000\ _₽_-;\-* #,##0.00000000000\ _₽_-;_-* &quot;-&quot;???\ _₽_-;_-@_-"/>
    <numFmt numFmtId="192" formatCode="#,##0.00&quot;р.&quot;;\-#,##0.00&quot;р.&quot;"/>
    <numFmt numFmtId="193" formatCode="_-* #,##0_р_._-;\-* #,##0_р_._-;_-* &quot;-&quot;_р_._-;_-@_-"/>
    <numFmt numFmtId="194" formatCode="_-* #,##0.00&quot;р.&quot;_-;\-* #,##0.00&quot;р.&quot;_-;_-* &quot;-&quot;??&quot;р.&quot;_-;_-@_-"/>
    <numFmt numFmtId="195" formatCode="&quot;$&quot;#,##0_);[Red]\(&quot;$&quot;#,##0\)"/>
    <numFmt numFmtId="196" formatCode="0.0%_);\(0.0%\)"/>
    <numFmt numFmtId="197" formatCode="#,##0;\(#,##0\)"/>
    <numFmt numFmtId="198" formatCode="_-* #,##0.00[$€-1]_-;\-* #,##0.00[$€-1]_-;_-* &quot;-&quot;??[$€-1]_-"/>
    <numFmt numFmtId="199" formatCode="_-* #,##0.00\ _$_-;\-* #,##0.00\ _$_-;_-* &quot;-&quot;??\ _$_-;_-@_-"/>
    <numFmt numFmtId="200" formatCode="#.##0\.00"/>
    <numFmt numFmtId="201" formatCode="#\.00"/>
    <numFmt numFmtId="202" formatCode="\$#\.00"/>
    <numFmt numFmtId="203" formatCode="#\."/>
    <numFmt numFmtId="204" formatCode="General_)"/>
    <numFmt numFmtId="205" formatCode="_-* #,##0&quot;đ.&quot;_-;\-* #,##0&quot;đ.&quot;_-;_-* &quot;-&quot;&quot;đ.&quot;_-;_-@_-"/>
    <numFmt numFmtId="206" formatCode="_-* #,##0.00&quot;đ.&quot;_-;\-* #,##0.00&quot;đ.&quot;_-;_-* &quot;-&quot;??&quot;đ.&quot;_-;_-@_-"/>
    <numFmt numFmtId="207" formatCode="\$#,##0\ ;\(\$#,##0\)"/>
    <numFmt numFmtId="208" formatCode="#,##0.000[$р.-419];\-#,##0.000[$р.-419]"/>
    <numFmt numFmtId="209" formatCode="_-* #,##0.0\ _$_-;\-* #,##0.0\ _$_-;_-* &quot;-&quot;??\ _$_-;_-@_-"/>
    <numFmt numFmtId="210" formatCode="#,##0.0_);\(#,##0.0\)"/>
    <numFmt numFmtId="211" formatCode="#,##0_ ;[Red]\-#,##0\ "/>
    <numFmt numFmtId="212" formatCode="#,##0_);[Blue]\(#,##0\)"/>
    <numFmt numFmtId="213" formatCode="_-* #,##0_-;\-* #,##0_-;_-* &quot;-&quot;_-;_-@_-"/>
    <numFmt numFmtId="214" formatCode="_-* #,##0.00_-;\-* #,##0.00_-;_-* &quot;-&quot;??_-;_-@_-"/>
    <numFmt numFmtId="215" formatCode="#,##0__\ \ \ \ 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#,##0.00&quot;т.р.&quot;;\-#,##0.00&quot;т.р.&quot;"/>
    <numFmt numFmtId="219" formatCode="#,##0.0;[Red]#,##0.0"/>
    <numFmt numFmtId="220" formatCode="_-* #,##0_đ_._-;\-* #,##0_đ_._-;_-* &quot;-&quot;_đ_._-;_-@_-"/>
    <numFmt numFmtId="221" formatCode="_-* #,##0.00_đ_._-;\-* #,##0.00_đ_._-;_-* &quot;-&quot;??_đ_._-;_-@_-"/>
    <numFmt numFmtId="222" formatCode="\(#,##0.0\)"/>
    <numFmt numFmtId="223" formatCode="#,##0\ &quot;?.&quot;;\-#,##0\ &quot;?.&quot;"/>
    <numFmt numFmtId="224" formatCode="#,##0______;;&quot;------------      &quot;"/>
    <numFmt numFmtId="225" formatCode="#,##0.000_ ;\-#,##0.000\ "/>
    <numFmt numFmtId="226" formatCode="#,##0.00_ ;[Red]\-#,##0.00\ "/>
    <numFmt numFmtId="227" formatCode="#,##0.000"/>
    <numFmt numFmtId="228" formatCode="_-* #,##0\ _р_._-;\-* #,##0\ _р_._-;_-* &quot;-&quot;\ _р_._-;_-@_-"/>
    <numFmt numFmtId="229" formatCode="_-* #,##0.00\ _р_._-;\-* #,##0.00\ _р_._-;_-* &quot;-&quot;??\ _р_._-;_-@_-"/>
    <numFmt numFmtId="230" formatCode="_-* #,##0\ _$_-;\-* #,##0\ _$_-;_-* &quot;-&quot;\ _$_-;_-@_-"/>
    <numFmt numFmtId="231" formatCode="#,##0.00_ ;\-#,##0.00\ "/>
    <numFmt numFmtId="232" formatCode="%#\.00"/>
    <numFmt numFmtId="233" formatCode="#,##0_);[Red]\(#,##0\)"/>
    <numFmt numFmtId="234" formatCode="0_)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6"/>
      <name val="Calibri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 Cyr"/>
      <charset val="204"/>
    </font>
    <font>
      <sz val="10"/>
      <name val="Calibri"/>
      <family val="2"/>
      <charset val="204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4"/>
      <name val="Arial Cyr"/>
      <charset val="204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</font>
    <font>
      <sz val="10"/>
      <color theme="0"/>
      <name val="Arial Cyr"/>
      <charset val="204"/>
    </font>
    <font>
      <sz val="11"/>
      <color theme="0"/>
      <name val="Garamond"/>
      <family val="1"/>
      <charset val="204"/>
    </font>
    <font>
      <b/>
      <sz val="11"/>
      <name val="Arial Cyr"/>
      <charset val="204"/>
    </font>
    <font>
      <b/>
      <sz val="11"/>
      <color theme="0"/>
      <name val="Arial Cyr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48"/>
      <name val="Calibri"/>
      <family val="2"/>
      <charset val="204"/>
    </font>
    <font>
      <sz val="10"/>
      <color theme="1"/>
      <name val="Tahoma"/>
      <family val="2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sz val="10"/>
      <color rgb="FFFF0000"/>
      <name val="Arial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 Cyr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1"/>
      <name val="Tahoma"/>
      <family val="2"/>
      <charset val="204"/>
    </font>
    <font>
      <b/>
      <sz val="18"/>
      <color indexed="56"/>
      <name val="Cambria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8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Times New Roman Cyr"/>
      <charset val="204"/>
    </font>
    <font>
      <sz val="8"/>
      <color theme="1"/>
      <name val="Arial"/>
      <family val="2"/>
      <charset val="204"/>
    </font>
    <font>
      <sz val="36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vertAlign val="superscript"/>
      <sz val="13"/>
      <name val="Times New Roman"/>
      <family val="1"/>
      <charset val="204"/>
    </font>
    <font>
      <i/>
      <vertAlign val="superscript"/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212">
    <xf numFmtId="0" fontId="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0" fontId="9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4" fillId="0" borderId="0"/>
    <xf numFmtId="0" fontId="6" fillId="0" borderId="0"/>
    <xf numFmtId="0" fontId="15" fillId="0" borderId="0"/>
    <xf numFmtId="0" fontId="16" fillId="0" borderId="8" applyNumberFormat="0" applyFill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4" fillId="8" borderId="9" applyNumberFormat="0" applyFon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6" fillId="0" borderId="0"/>
    <xf numFmtId="0" fontId="14" fillId="10" borderId="0" applyNumberFormat="0" applyBorder="0" applyAlignment="0" applyProtection="0"/>
    <xf numFmtId="0" fontId="23" fillId="0" borderId="12" applyNumberFormat="0" applyFill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4" fillId="0" borderId="0"/>
    <xf numFmtId="0" fontId="6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6" fillId="0" borderId="0">
      <alignment horizontal="left"/>
    </xf>
    <xf numFmtId="0" fontId="25" fillId="0" borderId="0"/>
    <xf numFmtId="9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60" fillId="0" borderId="0" applyNumberFormat="0" applyFill="0" applyBorder="0" applyAlignment="0" applyProtection="0"/>
    <xf numFmtId="0" fontId="9" fillId="0" borderId="0"/>
    <xf numFmtId="0" fontId="5" fillId="0" borderId="0"/>
    <xf numFmtId="164" fontId="5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12" fillId="0" borderId="0"/>
    <xf numFmtId="0" fontId="81" fillId="0" borderId="0">
      <alignment horizontal="left" vertical="center"/>
    </xf>
    <xf numFmtId="198" fontId="13" fillId="0" borderId="0"/>
    <xf numFmtId="0" fontId="86" fillId="0" borderId="0"/>
    <xf numFmtId="0" fontId="12" fillId="0" borderId="0"/>
    <xf numFmtId="179" fontId="26" fillId="0" borderId="0">
      <alignment vertical="top"/>
    </xf>
    <xf numFmtId="179" fontId="105" fillId="0" borderId="0">
      <alignment vertical="top"/>
    </xf>
    <xf numFmtId="196" fontId="105" fillId="26" borderId="0">
      <alignment vertical="top"/>
    </xf>
    <xf numFmtId="179" fontId="105" fillId="27" borderId="0">
      <alignment vertical="top"/>
    </xf>
    <xf numFmtId="40" fontId="106" fillId="0" borderId="0" applyFont="0" applyFill="0" applyBorder="0" applyAlignment="0" applyProtection="0"/>
    <xf numFmtId="0" fontId="107" fillId="0" borderId="0"/>
    <xf numFmtId="0" fontId="86" fillId="0" borderId="0"/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197" fontId="12" fillId="28" borderId="48">
      <alignment wrapText="1"/>
      <protection locked="0"/>
    </xf>
    <xf numFmtId="0" fontId="13" fillId="0" borderId="0"/>
    <xf numFmtId="0" fontId="86" fillId="0" borderId="0"/>
    <xf numFmtId="198" fontId="86" fillId="0" borderId="0"/>
    <xf numFmtId="0" fontId="86" fillId="0" borderId="0"/>
    <xf numFmtId="198" fontId="86" fillId="0" borderId="0"/>
    <xf numFmtId="0" fontId="86" fillId="0" borderId="0"/>
    <xf numFmtId="198" fontId="86" fillId="0" borderId="0"/>
    <xf numFmtId="0" fontId="86" fillId="0" borderId="0"/>
    <xf numFmtId="198" fontId="86" fillId="0" borderId="0"/>
    <xf numFmtId="0" fontId="108" fillId="0" borderId="0"/>
    <xf numFmtId="0" fontId="13" fillId="0" borderId="0"/>
    <xf numFmtId="198" fontId="13" fillId="0" borderId="0"/>
    <xf numFmtId="0" fontId="13" fillId="0" borderId="0"/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3" fillId="0" borderId="0"/>
    <xf numFmtId="198" fontId="13" fillId="0" borderId="0"/>
    <xf numFmtId="0" fontId="13" fillId="0" borderId="0"/>
    <xf numFmtId="198" fontId="13" fillId="0" borderId="0"/>
    <xf numFmtId="0" fontId="86" fillId="0" borderId="0"/>
    <xf numFmtId="198" fontId="86" fillId="0" borderId="0"/>
    <xf numFmtId="0" fontId="86" fillId="0" borderId="0"/>
    <xf numFmtId="198" fontId="86" fillId="0" borderId="0"/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86" fillId="0" borderId="0"/>
    <xf numFmtId="198" fontId="86" fillId="0" borderId="0"/>
    <xf numFmtId="0" fontId="86" fillId="0" borderId="0"/>
    <xf numFmtId="0" fontId="86" fillId="0" borderId="0"/>
    <xf numFmtId="198" fontId="86" fillId="0" borderId="0"/>
    <xf numFmtId="0" fontId="86" fillId="0" borderId="0"/>
    <xf numFmtId="198" fontId="86" fillId="0" borderId="0"/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86" fillId="0" borderId="0"/>
    <xf numFmtId="198" fontId="86" fillId="0" borderId="0"/>
    <xf numFmtId="0" fontId="86" fillId="0" borderId="0"/>
    <xf numFmtId="0" fontId="13" fillId="0" borderId="0"/>
    <xf numFmtId="198" fontId="13" fillId="0" borderId="0"/>
    <xf numFmtId="0" fontId="13" fillId="0" borderId="0"/>
    <xf numFmtId="198" fontId="13" fillId="0" borderId="0"/>
    <xf numFmtId="0" fontId="86" fillId="0" borderId="0"/>
    <xf numFmtId="198" fontId="86" fillId="0" borderId="0"/>
    <xf numFmtId="0" fontId="13" fillId="0" borderId="0"/>
    <xf numFmtId="198" fontId="13" fillId="0" borderId="0"/>
    <xf numFmtId="0" fontId="13" fillId="0" borderId="0"/>
    <xf numFmtId="198" fontId="13" fillId="0" borderId="0"/>
    <xf numFmtId="0" fontId="9" fillId="0" borderId="0"/>
    <xf numFmtId="0" fontId="86" fillId="0" borderId="0"/>
    <xf numFmtId="198" fontId="86" fillId="0" borderId="0"/>
    <xf numFmtId="199" fontId="9" fillId="0" borderId="0" applyFont="0" applyFill="0" applyBorder="0" applyAlignment="0" applyProtection="0"/>
    <xf numFmtId="200" fontId="109" fillId="0" borderId="0">
      <protection locked="0"/>
    </xf>
    <xf numFmtId="201" fontId="109" fillId="0" borderId="0">
      <protection locked="0"/>
    </xf>
    <xf numFmtId="200" fontId="109" fillId="0" borderId="0">
      <protection locked="0"/>
    </xf>
    <xf numFmtId="201" fontId="109" fillId="0" borderId="0">
      <protection locked="0"/>
    </xf>
    <xf numFmtId="202" fontId="109" fillId="0" borderId="0">
      <protection locked="0"/>
    </xf>
    <xf numFmtId="203" fontId="109" fillId="0" borderId="104">
      <protection locked="0"/>
    </xf>
    <xf numFmtId="203" fontId="110" fillId="0" borderId="0">
      <protection locked="0"/>
    </xf>
    <xf numFmtId="203" fontId="110" fillId="0" borderId="0">
      <protection locked="0"/>
    </xf>
    <xf numFmtId="203" fontId="109" fillId="0" borderId="104">
      <protection locked="0"/>
    </xf>
    <xf numFmtId="0" fontId="15" fillId="29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7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5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4" borderId="0" applyNumberFormat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08" fillId="0" borderId="0"/>
    <xf numFmtId="204" fontId="112" fillId="0" borderId="105">
      <protection locked="0"/>
    </xf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0" fontId="17" fillId="6" borderId="0" applyNumberFormat="0" applyBorder="0" applyAlignment="0" applyProtection="0"/>
    <xf numFmtId="10" fontId="113" fillId="0" borderId="0" applyNumberFormat="0" applyFill="0" applyBorder="0" applyAlignment="0"/>
    <xf numFmtId="0" fontId="114" fillId="0" borderId="0"/>
    <xf numFmtId="0" fontId="102" fillId="45" borderId="106" applyNumberFormat="0" applyAlignment="0" applyProtection="0"/>
    <xf numFmtId="0" fontId="24" fillId="0" borderId="106" applyNumberFormat="0" applyAlignment="0">
      <protection locked="0"/>
    </xf>
    <xf numFmtId="0" fontId="20" fillId="9" borderId="11" applyNumberFormat="0" applyAlignment="0" applyProtection="0"/>
    <xf numFmtId="0" fontId="115" fillId="0" borderId="3">
      <alignment horizontal="left" vertical="center"/>
    </xf>
    <xf numFmtId="193" fontId="12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/>
    <xf numFmtId="164" fontId="12" fillId="0" borderId="0" applyFont="0" applyFill="0" applyBorder="0" applyAlignment="0" applyProtection="0"/>
    <xf numFmtId="3" fontId="116" fillId="0" borderId="0" applyFont="0" applyFill="0" applyBorder="0" applyAlignment="0" applyProtection="0"/>
    <xf numFmtId="204" fontId="117" fillId="46" borderId="105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194" fontId="9" fillId="0" borderId="0" applyFont="0" applyFill="0" applyBorder="0" applyAlignment="0" applyProtection="0"/>
    <xf numFmtId="207" fontId="116" fillId="0" borderId="0" applyFont="0" applyFill="0" applyBorder="0" applyAlignment="0" applyProtection="0"/>
    <xf numFmtId="0" fontId="87" fillId="0" borderId="0" applyFill="0" applyBorder="0" applyProtection="0">
      <alignment vertical="center"/>
    </xf>
    <xf numFmtId="0" fontId="116" fillId="0" borderId="0" applyFont="0" applyFill="0" applyBorder="0" applyAlignment="0" applyProtection="0"/>
    <xf numFmtId="0" fontId="87" fillId="0" borderId="0" applyFont="0" applyFill="0" applyBorder="0" applyAlignment="0" applyProtection="0"/>
    <xf numFmtId="14" fontId="83" fillId="0" borderId="0">
      <alignment vertical="top"/>
    </xf>
    <xf numFmtId="208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0" fontId="87" fillId="0" borderId="107" applyNumberFormat="0" applyFont="0" applyFill="0" applyAlignment="0" applyProtection="0"/>
    <xf numFmtId="0" fontId="118" fillId="0" borderId="0" applyNumberFormat="0" applyFill="0" applyBorder="0" applyAlignment="0" applyProtection="0"/>
    <xf numFmtId="233" fontId="119" fillId="0" borderId="0">
      <alignment vertical="top"/>
    </xf>
    <xf numFmtId="38" fontId="119" fillId="0" borderId="0">
      <alignment vertical="top"/>
    </xf>
    <xf numFmtId="38" fontId="119" fillId="0" borderId="0">
      <alignment vertical="top"/>
    </xf>
    <xf numFmtId="198" fontId="83" fillId="0" borderId="0" applyFont="0" applyFill="0" applyBorder="0" applyAlignment="0" applyProtection="0"/>
    <xf numFmtId="37" fontId="12" fillId="0" borderId="0"/>
    <xf numFmtId="0" fontId="103" fillId="0" borderId="0" applyNumberFormat="0" applyFill="0" applyBorder="0" applyAlignment="0" applyProtection="0"/>
    <xf numFmtId="168" fontId="120" fillId="0" borderId="0" applyFill="0" applyBorder="0" applyAlignment="0" applyProtection="0"/>
    <xf numFmtId="168" fontId="26" fillId="0" borderId="0" applyFill="0" applyBorder="0" applyAlignment="0" applyProtection="0"/>
    <xf numFmtId="168" fontId="121" fillId="0" borderId="0" applyFill="0" applyBorder="0" applyAlignment="0" applyProtection="0"/>
    <xf numFmtId="168" fontId="122" fillId="0" borderId="0" applyFill="0" applyBorder="0" applyAlignment="0" applyProtection="0"/>
    <xf numFmtId="168" fontId="123" fillId="0" borderId="0" applyFill="0" applyBorder="0" applyAlignment="0" applyProtection="0"/>
    <xf numFmtId="168" fontId="124" fillId="0" borderId="0" applyFill="0" applyBorder="0" applyAlignment="0" applyProtection="0"/>
    <xf numFmtId="168" fontId="125" fillId="0" borderId="0" applyFill="0" applyBorder="0" applyAlignment="0" applyProtection="0"/>
    <xf numFmtId="2" fontId="116" fillId="0" borderId="0" applyFont="0" applyFill="0" applyBorder="0" applyAlignment="0" applyProtection="0"/>
    <xf numFmtId="0" fontId="126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127" fillId="0" borderId="0" applyFill="0" applyBorder="0" applyProtection="0">
      <alignment horizontal="left"/>
    </xf>
    <xf numFmtId="0" fontId="18" fillId="7" borderId="0" applyNumberFormat="0" applyBorder="0" applyAlignment="0" applyProtection="0"/>
    <xf numFmtId="179" fontId="128" fillId="27" borderId="3" applyNumberFormat="0" applyFont="0" applyBorder="0" applyAlignment="0" applyProtection="0"/>
    <xf numFmtId="0" fontId="87" fillId="0" borderId="0" applyFont="0" applyFill="0" applyBorder="0" applyAlignment="0" applyProtection="0">
      <alignment horizontal="right"/>
    </xf>
    <xf numFmtId="210" fontId="129" fillId="27" borderId="0" applyNumberFormat="0" applyFont="0" applyAlignment="0"/>
    <xf numFmtId="0" fontId="130" fillId="0" borderId="0" applyProtection="0">
      <alignment horizontal="right"/>
    </xf>
    <xf numFmtId="0" fontId="24" fillId="45" borderId="106" applyNumberFormat="0" applyAlignment="0"/>
    <xf numFmtId="0" fontId="131" fillId="0" borderId="0">
      <alignment vertical="top"/>
    </xf>
    <xf numFmtId="0" fontId="23" fillId="0" borderId="12" applyNumberFormat="0" applyFill="0" applyAlignment="0" applyProtection="0"/>
    <xf numFmtId="0" fontId="98" fillId="0" borderId="108" applyNumberFormat="0" applyFill="0" applyAlignment="0" applyProtection="0"/>
    <xf numFmtId="0" fontId="99" fillId="0" borderId="109" applyNumberFormat="0" applyFill="0" applyAlignment="0" applyProtection="0"/>
    <xf numFmtId="0" fontId="99" fillId="0" borderId="0" applyNumberFormat="0" applyFill="0" applyBorder="0" applyAlignment="0" applyProtection="0"/>
    <xf numFmtId="2" fontId="132" fillId="47" borderId="0" applyAlignment="0">
      <alignment horizontal="right"/>
      <protection locked="0"/>
    </xf>
    <xf numFmtId="233" fontId="133" fillId="0" borderId="0">
      <alignment vertical="top"/>
    </xf>
    <xf numFmtId="38" fontId="133" fillId="0" borderId="0">
      <alignment vertical="top"/>
    </xf>
    <xf numFmtId="38" fontId="133" fillId="0" borderId="0">
      <alignment vertical="top"/>
    </xf>
    <xf numFmtId="0" fontId="89" fillId="0" borderId="0" applyNumberFormat="0" applyFill="0" applyBorder="0" applyAlignment="0" applyProtection="0">
      <alignment vertical="top"/>
      <protection locked="0"/>
    </xf>
    <xf numFmtId="204" fontId="134" fillId="0" borderId="0"/>
    <xf numFmtId="0" fontId="12" fillId="0" borderId="0"/>
    <xf numFmtId="0" fontId="135" fillId="0" borderId="0" applyNumberFormat="0" applyFill="0" applyBorder="0" applyAlignment="0" applyProtection="0">
      <alignment vertical="top"/>
      <protection locked="0"/>
    </xf>
    <xf numFmtId="211" fontId="136" fillId="0" borderId="3">
      <alignment horizontal="center" vertical="center" wrapText="1"/>
    </xf>
    <xf numFmtId="0" fontId="84" fillId="32" borderId="106" applyNumberFormat="0" applyAlignment="0" applyProtection="0"/>
    <xf numFmtId="0" fontId="137" fillId="0" borderId="0" applyFill="0" applyBorder="0" applyProtection="0">
      <alignment vertical="center"/>
    </xf>
    <xf numFmtId="0" fontId="137" fillId="0" borderId="0" applyFill="0" applyBorder="0" applyProtection="0">
      <alignment vertical="center"/>
    </xf>
    <xf numFmtId="0" fontId="137" fillId="0" borderId="0" applyFill="0" applyBorder="0" applyProtection="0">
      <alignment vertical="center"/>
    </xf>
    <xf numFmtId="0" fontId="137" fillId="0" borderId="0" applyFill="0" applyBorder="0" applyProtection="0">
      <alignment vertical="center"/>
    </xf>
    <xf numFmtId="233" fontId="105" fillId="0" borderId="0">
      <alignment vertical="top"/>
    </xf>
    <xf numFmtId="233" fontId="105" fillId="26" borderId="0">
      <alignment vertical="top"/>
    </xf>
    <xf numFmtId="38" fontId="105" fillId="26" borderId="0">
      <alignment vertical="top"/>
    </xf>
    <xf numFmtId="38" fontId="105" fillId="26" borderId="0">
      <alignment vertical="top"/>
    </xf>
    <xf numFmtId="38" fontId="105" fillId="0" borderId="0">
      <alignment vertical="top"/>
    </xf>
    <xf numFmtId="212" fontId="105" fillId="27" borderId="0">
      <alignment vertical="top"/>
    </xf>
    <xf numFmtId="38" fontId="105" fillId="0" borderId="0">
      <alignment vertical="top"/>
    </xf>
    <xf numFmtId="0" fontId="19" fillId="0" borderId="10" applyNumberFormat="0" applyFill="0" applyAlignment="0" applyProtection="0"/>
    <xf numFmtId="213" fontId="138" fillId="0" borderId="0" applyFont="0" applyFill="0" applyBorder="0" applyAlignment="0" applyProtection="0"/>
    <xf numFmtId="214" fontId="138" fillId="0" borderId="0" applyFont="0" applyFill="0" applyBorder="0" applyAlignment="0" applyProtection="0"/>
    <xf numFmtId="213" fontId="138" fillId="0" borderId="0" applyFont="0" applyFill="0" applyBorder="0" applyAlignment="0" applyProtection="0"/>
    <xf numFmtId="214" fontId="138" fillId="0" borderId="0" applyFont="0" applyFill="0" applyBorder="0" applyAlignment="0" applyProtection="0"/>
    <xf numFmtId="215" fontId="139" fillId="0" borderId="3">
      <alignment horizontal="right"/>
      <protection locked="0"/>
    </xf>
    <xf numFmtId="216" fontId="138" fillId="0" borderId="0" applyFont="0" applyFill="0" applyBorder="0" applyAlignment="0" applyProtection="0"/>
    <xf numFmtId="217" fontId="138" fillId="0" borderId="0" applyFont="0" applyFill="0" applyBorder="0" applyAlignment="0" applyProtection="0"/>
    <xf numFmtId="216" fontId="138" fillId="0" borderId="0" applyFont="0" applyFill="0" applyBorder="0" applyAlignment="0" applyProtection="0"/>
    <xf numFmtId="217" fontId="138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ill="0" applyBorder="0" applyProtection="0">
      <alignment vertical="center"/>
    </xf>
    <xf numFmtId="0" fontId="87" fillId="0" borderId="0" applyFont="0" applyFill="0" applyBorder="0" applyAlignment="0" applyProtection="0">
      <alignment horizontal="right"/>
    </xf>
    <xf numFmtId="3" fontId="9" fillId="0" borderId="16" applyFont="0" applyBorder="0">
      <alignment horizontal="center" vertical="center"/>
    </xf>
    <xf numFmtId="0" fontId="100" fillId="48" borderId="0" applyNumberFormat="0" applyBorder="0" applyAlignment="0" applyProtection="0"/>
    <xf numFmtId="0" fontId="15" fillId="0" borderId="32"/>
    <xf numFmtId="0" fontId="90" fillId="0" borderId="0" applyNumberFormat="0" applyFill="0" applyBorder="0" applyAlignment="0" applyProtection="0"/>
    <xf numFmtId="218" fontId="9" fillId="0" borderId="0"/>
    <xf numFmtId="0" fontId="9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0" fillId="0" borderId="0">
      <alignment horizontal="right"/>
    </xf>
    <xf numFmtId="0" fontId="9" fillId="0" borderId="0"/>
    <xf numFmtId="0" fontId="91" fillId="0" borderId="0"/>
    <xf numFmtId="0" fontId="87" fillId="0" borderId="0" applyFill="0" applyBorder="0" applyProtection="0">
      <alignment vertical="center"/>
    </xf>
    <xf numFmtId="0" fontId="141" fillId="0" borderId="0"/>
    <xf numFmtId="0" fontId="12" fillId="0" borderId="0"/>
    <xf numFmtId="0" fontId="13" fillId="0" borderId="0"/>
    <xf numFmtId="0" fontId="81" fillId="8" borderId="9" applyNumberFormat="0" applyFont="0" applyAlignment="0" applyProtection="0"/>
    <xf numFmtId="219" fontId="9" fillId="0" borderId="0" applyFont="0" applyAlignment="0">
      <alignment horizontal="center"/>
    </xf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0" fontId="128" fillId="0" borderId="0"/>
    <xf numFmtId="222" fontId="128" fillId="0" borderId="0" applyFont="0" applyFill="0" applyBorder="0" applyAlignment="0" applyProtection="0"/>
    <xf numFmtId="223" fontId="128" fillId="0" borderId="0" applyFont="0" applyFill="0" applyBorder="0" applyAlignment="0" applyProtection="0"/>
    <xf numFmtId="0" fontId="101" fillId="45" borderId="110" applyNumberFormat="0" applyAlignment="0" applyProtection="0"/>
    <xf numFmtId="1" fontId="142" fillId="0" borderId="0" applyProtection="0">
      <alignment horizontal="right" vertical="center"/>
    </xf>
    <xf numFmtId="49" fontId="143" fillId="0" borderId="13" applyFill="0" applyProtection="0">
      <alignment vertical="center"/>
    </xf>
    <xf numFmtId="9" fontId="12" fillId="0" borderId="0" applyFont="0" applyFill="0" applyBorder="0" applyAlignment="0" applyProtection="0"/>
    <xf numFmtId="0" fontId="87" fillId="0" borderId="0" applyFill="0" applyBorder="0" applyProtection="0">
      <alignment vertical="center"/>
    </xf>
    <xf numFmtId="37" fontId="144" fillId="28" borderId="60"/>
    <xf numFmtId="37" fontId="144" fillId="28" borderId="60"/>
    <xf numFmtId="0" fontId="145" fillId="0" borderId="0" applyNumberFormat="0">
      <alignment horizontal="left"/>
    </xf>
    <xf numFmtId="224" fontId="146" fillId="0" borderId="111" applyBorder="0">
      <alignment horizontal="right"/>
      <protection locked="0"/>
    </xf>
    <xf numFmtId="49" fontId="147" fillId="0" borderId="3" applyNumberFormat="0">
      <alignment horizontal="left" vertical="center"/>
    </xf>
    <xf numFmtId="0" fontId="148" fillId="0" borderId="112">
      <alignment vertical="center"/>
    </xf>
    <xf numFmtId="4" fontId="149" fillId="28" borderId="110" applyNumberFormat="0" applyProtection="0">
      <alignment vertical="center"/>
    </xf>
    <xf numFmtId="4" fontId="150" fillId="28" borderId="110" applyNumberFormat="0" applyProtection="0">
      <alignment vertical="center"/>
    </xf>
    <xf numFmtId="4" fontId="149" fillId="28" borderId="110" applyNumberFormat="0" applyProtection="0">
      <alignment horizontal="left" vertical="center" indent="1"/>
    </xf>
    <xf numFmtId="4" fontId="149" fillId="28" borderId="110" applyNumberFormat="0" applyProtection="0">
      <alignment horizontal="left" vertical="center" indent="1"/>
    </xf>
    <xf numFmtId="0" fontId="12" fillId="49" borderId="110" applyNumberFormat="0" applyProtection="0">
      <alignment horizontal="left" vertical="center" indent="1"/>
    </xf>
    <xf numFmtId="4" fontId="149" fillId="50" borderId="110" applyNumberFormat="0" applyProtection="0">
      <alignment horizontal="right" vertical="center"/>
    </xf>
    <xf numFmtId="4" fontId="149" fillId="51" borderId="110" applyNumberFormat="0" applyProtection="0">
      <alignment horizontal="right" vertical="center"/>
    </xf>
    <xf numFmtId="4" fontId="149" fillId="22" borderId="110" applyNumberFormat="0" applyProtection="0">
      <alignment horizontal="right" vertical="center"/>
    </xf>
    <xf numFmtId="4" fontId="149" fillId="52" borderId="110" applyNumberFormat="0" applyProtection="0">
      <alignment horizontal="right" vertical="center"/>
    </xf>
    <xf numFmtId="4" fontId="149" fillId="53" borderId="110" applyNumberFormat="0" applyProtection="0">
      <alignment horizontal="right" vertical="center"/>
    </xf>
    <xf numFmtId="4" fontId="149" fillId="54" borderId="110" applyNumberFormat="0" applyProtection="0">
      <alignment horizontal="right" vertical="center"/>
    </xf>
    <xf numFmtId="4" fontId="149" fillId="55" borderId="110" applyNumberFormat="0" applyProtection="0">
      <alignment horizontal="right" vertical="center"/>
    </xf>
    <xf numFmtId="4" fontId="149" fillId="56" borderId="110" applyNumberFormat="0" applyProtection="0">
      <alignment horizontal="right" vertical="center"/>
    </xf>
    <xf numFmtId="4" fontId="149" fillId="57" borderId="110" applyNumberFormat="0" applyProtection="0">
      <alignment horizontal="right" vertical="center"/>
    </xf>
    <xf numFmtId="4" fontId="151" fillId="58" borderId="110" applyNumberFormat="0" applyProtection="0">
      <alignment horizontal="left" vertical="center" indent="1"/>
    </xf>
    <xf numFmtId="4" fontId="149" fillId="59" borderId="113" applyNumberFormat="0" applyProtection="0">
      <alignment horizontal="left" vertical="center" indent="1"/>
    </xf>
    <xf numFmtId="4" fontId="11" fillId="60" borderId="0" applyNumberFormat="0" applyProtection="0">
      <alignment horizontal="left" vertical="center" indent="1"/>
    </xf>
    <xf numFmtId="0" fontId="12" fillId="49" borderId="110" applyNumberFormat="0" applyProtection="0">
      <alignment horizontal="left" vertical="center" indent="1"/>
    </xf>
    <xf numFmtId="4" fontId="22" fillId="59" borderId="110" applyNumberFormat="0" applyProtection="0">
      <alignment horizontal="left" vertical="center" indent="1"/>
    </xf>
    <xf numFmtId="4" fontId="22" fillId="61" borderId="110" applyNumberFormat="0" applyProtection="0">
      <alignment horizontal="left" vertical="center" indent="1"/>
    </xf>
    <xf numFmtId="0" fontId="12" fillId="61" borderId="110" applyNumberFormat="0" applyProtection="0">
      <alignment horizontal="left" vertical="center" indent="1"/>
    </xf>
    <xf numFmtId="0" fontId="12" fillId="61" borderId="110" applyNumberFormat="0" applyProtection="0">
      <alignment horizontal="left" vertical="center" indent="1"/>
    </xf>
    <xf numFmtId="0" fontId="12" fillId="62" borderId="110" applyNumberFormat="0" applyProtection="0">
      <alignment horizontal="left" vertical="center" indent="1"/>
    </xf>
    <xf numFmtId="0" fontId="12" fillId="62" borderId="110" applyNumberFormat="0" applyProtection="0">
      <alignment horizontal="left" vertical="center" indent="1"/>
    </xf>
    <xf numFmtId="0" fontId="12" fillId="26" borderId="110" applyNumberFormat="0" applyProtection="0">
      <alignment horizontal="left" vertical="center" indent="1"/>
    </xf>
    <xf numFmtId="0" fontId="12" fillId="26" borderId="110" applyNumberFormat="0" applyProtection="0">
      <alignment horizontal="left" vertical="center" indent="1"/>
    </xf>
    <xf numFmtId="0" fontId="12" fillId="49" borderId="110" applyNumberFormat="0" applyProtection="0">
      <alignment horizontal="left" vertical="center" indent="1"/>
    </xf>
    <xf numFmtId="0" fontId="12" fillId="49" borderId="110" applyNumberFormat="0" applyProtection="0">
      <alignment horizontal="left" vertical="center" indent="1"/>
    </xf>
    <xf numFmtId="0" fontId="9" fillId="0" borderId="0"/>
    <xf numFmtId="4" fontId="149" fillId="63" borderId="110" applyNumberFormat="0" applyProtection="0">
      <alignment vertical="center"/>
    </xf>
    <xf numFmtId="4" fontId="150" fillId="63" borderId="110" applyNumberFormat="0" applyProtection="0">
      <alignment vertical="center"/>
    </xf>
    <xf numFmtId="4" fontId="149" fillId="63" borderId="110" applyNumberFormat="0" applyProtection="0">
      <alignment horizontal="left" vertical="center" indent="1"/>
    </xf>
    <xf numFmtId="4" fontId="149" fillId="63" borderId="110" applyNumberFormat="0" applyProtection="0">
      <alignment horizontal="left" vertical="center" indent="1"/>
    </xf>
    <xf numFmtId="4" fontId="149" fillId="59" borderId="110" applyNumberFormat="0" applyProtection="0">
      <alignment horizontal="right" vertical="center"/>
    </xf>
    <xf numFmtId="4" fontId="150" fillId="59" borderId="110" applyNumberFormat="0" applyProtection="0">
      <alignment horizontal="right" vertical="center"/>
    </xf>
    <xf numFmtId="0" fontId="12" fillId="49" borderId="110" applyNumberFormat="0" applyProtection="0">
      <alignment horizontal="left" vertical="center" indent="1"/>
    </xf>
    <xf numFmtId="0" fontId="12" fillId="49" borderId="110" applyNumberFormat="0" applyProtection="0">
      <alignment horizontal="left" vertical="center" indent="1"/>
    </xf>
    <xf numFmtId="0" fontId="152" fillId="0" borderId="0"/>
    <xf numFmtId="4" fontId="153" fillId="59" borderId="110" applyNumberFormat="0" applyProtection="0">
      <alignment horizontal="right" vertical="center"/>
    </xf>
    <xf numFmtId="0" fontId="154" fillId="0" borderId="0">
      <alignment horizontal="left" vertical="center" wrapText="1"/>
    </xf>
    <xf numFmtId="0" fontId="12" fillId="0" borderId="0"/>
    <xf numFmtId="0" fontId="13" fillId="0" borderId="0"/>
    <xf numFmtId="0" fontId="155" fillId="0" borderId="0" applyBorder="0" applyProtection="0">
      <alignment vertical="center"/>
    </xf>
    <xf numFmtId="0" fontId="155" fillId="0" borderId="13" applyBorder="0" applyProtection="0">
      <alignment horizontal="right" vertical="center"/>
    </xf>
    <xf numFmtId="0" fontId="156" fillId="64" borderId="0" applyBorder="0" applyProtection="0">
      <alignment horizontal="centerContinuous" vertical="center"/>
    </xf>
    <xf numFmtId="0" fontId="156" fillId="65" borderId="13" applyBorder="0" applyProtection="0">
      <alignment horizontal="centerContinuous" vertical="center"/>
    </xf>
    <xf numFmtId="0" fontId="157" fillId="0" borderId="0"/>
    <xf numFmtId="233" fontId="158" fillId="66" borderId="0">
      <alignment horizontal="right" vertical="top"/>
    </xf>
    <xf numFmtId="38" fontId="158" fillId="66" borderId="0">
      <alignment horizontal="right" vertical="top"/>
    </xf>
    <xf numFmtId="38" fontId="158" fillId="66" borderId="0">
      <alignment horizontal="right" vertical="top"/>
    </xf>
    <xf numFmtId="0" fontId="141" fillId="0" borderId="0"/>
    <xf numFmtId="0" fontId="159" fillId="0" borderId="0" applyFill="0" applyBorder="0" applyProtection="0">
      <alignment horizontal="left"/>
    </xf>
    <xf numFmtId="0" fontId="127" fillId="0" borderId="15" applyFill="0" applyBorder="0" applyProtection="0">
      <alignment horizontal="left" vertical="top"/>
    </xf>
    <xf numFmtId="0" fontId="160" fillId="0" borderId="0">
      <alignment horizontal="centerContinuous"/>
    </xf>
    <xf numFmtId="0" fontId="161" fillId="0" borderId="15" applyFill="0" applyBorder="0" applyProtection="0"/>
    <xf numFmtId="0" fontId="161" fillId="0" borderId="0"/>
    <xf numFmtId="0" fontId="162" fillId="0" borderId="0" applyFill="0" applyBorder="0" applyProtection="0"/>
    <xf numFmtId="0" fontId="163" fillId="0" borderId="0"/>
    <xf numFmtId="0" fontId="97" fillId="0" borderId="0" applyNumberFormat="0" applyFill="0" applyBorder="0" applyAlignment="0" applyProtection="0"/>
    <xf numFmtId="49" fontId="96" fillId="62" borderId="114" applyNumberFormat="0">
      <alignment horizontal="center" vertical="center"/>
    </xf>
    <xf numFmtId="0" fontId="16" fillId="0" borderId="8" applyNumberFormat="0" applyFill="0" applyAlignment="0" applyProtection="0"/>
    <xf numFmtId="0" fontId="164" fillId="0" borderId="107" applyFill="0" applyBorder="0" applyProtection="0">
      <alignment vertical="center"/>
    </xf>
    <xf numFmtId="0" fontId="165" fillId="0" borderId="0">
      <alignment horizontal="fill"/>
    </xf>
    <xf numFmtId="0" fontId="128" fillId="0" borderId="0"/>
    <xf numFmtId="0" fontId="21" fillId="0" borderId="0" applyNumberFormat="0" applyFill="0" applyBorder="0" applyAlignment="0" applyProtection="0"/>
    <xf numFmtId="0" fontId="166" fillId="0" borderId="13" applyBorder="0" applyProtection="0">
      <alignment horizontal="right"/>
    </xf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1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43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39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0" fontId="104" fillId="44" borderId="0" applyNumberFormat="0" applyBorder="0" applyAlignment="0" applyProtection="0"/>
    <xf numFmtId="204" fontId="112" fillId="0" borderId="105">
      <protection locked="0"/>
    </xf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0" fontId="84" fillId="32" borderId="106" applyNumberFormat="0" applyAlignment="0" applyProtection="0"/>
    <xf numFmtId="3" fontId="167" fillId="0" borderId="0">
      <alignment horizontal="center" vertical="center" textRotation="90" wrapText="1"/>
    </xf>
    <xf numFmtId="225" fontId="112" fillId="0" borderId="3">
      <alignment vertical="top" wrapText="1"/>
    </xf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1" fillId="45" borderId="110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102" fillId="45" borderId="106" applyNumberFormat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226" fontId="168" fillId="0" borderId="3">
      <alignment vertical="top" wrapText="1"/>
    </xf>
    <xf numFmtId="4" fontId="169" fillId="0" borderId="3">
      <alignment horizontal="left" vertical="center"/>
    </xf>
    <xf numFmtId="4" fontId="169" fillId="0" borderId="3"/>
    <xf numFmtId="4" fontId="169" fillId="21" borderId="3"/>
    <xf numFmtId="4" fontId="169" fillId="67" borderId="3"/>
    <xf numFmtId="4" fontId="170" fillId="68" borderId="3"/>
    <xf numFmtId="4" fontId="171" fillId="26" borderId="3"/>
    <xf numFmtId="4" fontId="172" fillId="0" borderId="3">
      <alignment horizontal="center" wrapText="1"/>
    </xf>
    <xf numFmtId="226" fontId="169" fillId="0" borderId="3"/>
    <xf numFmtId="226" fontId="168" fillId="0" borderId="3">
      <alignment horizontal="center" vertical="center" wrapText="1"/>
    </xf>
    <xf numFmtId="226" fontId="168" fillId="0" borderId="3">
      <alignment vertical="top" wrapText="1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4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92" fillId="0" borderId="0" applyBorder="0">
      <alignment horizontal="center" vertical="center" wrapText="1"/>
    </xf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8" fillId="0" borderId="108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109" applyNumberForma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2" fillId="0" borderId="71" applyBorder="0">
      <alignment horizontal="center" vertical="center" wrapText="1"/>
    </xf>
    <xf numFmtId="204" fontId="117" fillId="46" borderId="105"/>
    <xf numFmtId="4" fontId="81" fillId="28" borderId="3" applyBorder="0">
      <alignment horizontal="right"/>
    </xf>
    <xf numFmtId="49" fontId="174" fillId="0" borderId="0" applyBorder="0">
      <alignment vertical="center"/>
    </xf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3" fontId="117" fillId="0" borderId="3" applyBorder="0">
      <alignment vertical="center"/>
    </xf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90" fillId="0" borderId="104" applyNumberFormat="0" applyFill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9" fillId="0" borderId="0">
      <alignment wrapText="1"/>
    </xf>
    <xf numFmtId="0" fontId="10" fillId="0" borderId="0">
      <alignment horizontal="center" vertical="top" wrapText="1"/>
    </xf>
    <xf numFmtId="0" fontId="175" fillId="0" borderId="0">
      <alignment horizontal="centerContinuous" vertical="center" wrapText="1"/>
    </xf>
    <xf numFmtId="198" fontId="10" fillId="0" borderId="0">
      <alignment horizontal="center" vertical="top"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0" fontId="90" fillId="27" borderId="0" applyFill="0">
      <alignment wrapText="1"/>
    </xf>
    <xf numFmtId="198" fontId="90" fillId="27" borderId="0" applyFill="0">
      <alignment wrapText="1"/>
    </xf>
    <xf numFmtId="227" fontId="74" fillId="27" borderId="3">
      <alignment wrapText="1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92" fontId="176" fillId="0" borderId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0" fontId="100" fillId="48" borderId="0" applyNumberFormat="0" applyBorder="0" applyAlignment="0" applyProtection="0"/>
    <xf numFmtId="49" fontId="167" fillId="0" borderId="3">
      <alignment horizontal="right" vertical="top" wrapText="1"/>
    </xf>
    <xf numFmtId="168" fontId="177" fillId="0" borderId="0">
      <alignment horizontal="right" vertical="top" wrapText="1"/>
    </xf>
    <xf numFmtId="49" fontId="81" fillId="0" borderId="0" applyBorder="0">
      <alignment vertical="top"/>
    </xf>
    <xf numFmtId="0" fontId="5" fillId="0" borderId="0"/>
    <xf numFmtId="0" fontId="12" fillId="0" borderId="0"/>
    <xf numFmtId="0" fontId="5" fillId="0" borderId="0"/>
    <xf numFmtId="0" fontId="178" fillId="0" borderId="0"/>
    <xf numFmtId="0" fontId="14" fillId="0" borderId="0"/>
    <xf numFmtId="0" fontId="14" fillId="0" borderId="0"/>
    <xf numFmtId="0" fontId="5" fillId="0" borderId="0"/>
    <xf numFmtId="0" fontId="185" fillId="0" borderId="0"/>
    <xf numFmtId="0" fontId="93" fillId="57" borderId="0" applyNumberFormat="0" applyBorder="0" applyAlignment="0">
      <alignment horizontal="left"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49" fontId="81" fillId="57" borderId="0" applyBorder="0">
      <alignment vertical="top"/>
    </xf>
    <xf numFmtId="49" fontId="81" fillId="0" borderId="0" applyBorder="0">
      <alignment vertical="top"/>
    </xf>
    <xf numFmtId="0" fontId="14" fillId="0" borderId="0"/>
    <xf numFmtId="0" fontId="14" fillId="0" borderId="0"/>
    <xf numFmtId="198" fontId="14" fillId="0" borderId="0"/>
    <xf numFmtId="49" fontId="81" fillId="0" borderId="0" applyBorder="0">
      <alignment vertical="top"/>
    </xf>
    <xf numFmtId="49" fontId="81" fillId="0" borderId="0" applyBorder="0">
      <alignment vertical="top"/>
    </xf>
    <xf numFmtId="49" fontId="81" fillId="0" borderId="0" applyBorder="0">
      <alignment vertical="top"/>
    </xf>
    <xf numFmtId="49" fontId="81" fillId="0" borderId="0" applyBorder="0">
      <alignment vertical="top"/>
    </xf>
    <xf numFmtId="49" fontId="81" fillId="0" borderId="0" applyBorder="0">
      <alignment vertical="top"/>
    </xf>
    <xf numFmtId="49" fontId="81" fillId="0" borderId="0" applyBorder="0">
      <alignment vertical="top"/>
    </xf>
    <xf numFmtId="0" fontId="9" fillId="0" borderId="0"/>
    <xf numFmtId="1" fontId="179" fillId="0" borderId="3">
      <alignment horizontal="left"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0" borderId="0" applyFont="0" applyFill="0" applyBorder="0" applyProtection="0">
      <alignment horizontal="center" vertical="center" wrapText="1"/>
    </xf>
    <xf numFmtId="0" fontId="9" fillId="0" borderId="0" applyNumberFormat="0" applyFont="0" applyFill="0" applyBorder="0" applyProtection="0">
      <alignment horizontal="justify" vertical="center" wrapText="1"/>
    </xf>
    <xf numFmtId="226" fontId="180" fillId="0" borderId="3">
      <alignment vertical="top"/>
    </xf>
    <xf numFmtId="168" fontId="181" fillId="28" borderId="60" applyNumberFormat="0" applyBorder="0" applyAlignment="0">
      <alignment vertical="center"/>
      <protection locked="0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49" fontId="170" fillId="0" borderId="48">
      <alignment horizontal="left"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82" fillId="0" borderId="3"/>
    <xf numFmtId="0" fontId="9" fillId="0" borderId="3" applyNumberFormat="0" applyFont="0" applyFill="0" applyAlignment="0" applyProtection="0"/>
    <xf numFmtId="3" fontId="183" fillId="69" borderId="48">
      <alignment horizontal="justify" vertical="center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233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198" fontId="13" fillId="0" borderId="0"/>
    <xf numFmtId="49" fontId="177" fillId="0" borderId="0"/>
    <xf numFmtId="49" fontId="184" fillId="0" borderId="0">
      <alignment vertical="top"/>
    </xf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168" fontId="90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49" fontId="90" fillId="0" borderId="0">
      <alignment horizontal="center"/>
    </xf>
    <xf numFmtId="228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2" fontId="90" fillId="0" borderId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29" fontId="12" fillId="0" borderId="0" applyFont="0" applyFill="0" applyBorder="0" applyAlignment="0" applyProtection="0"/>
    <xf numFmtId="229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4" fontId="81" fillId="27" borderId="0" applyBorder="0">
      <alignment horizontal="right"/>
    </xf>
    <xf numFmtId="4" fontId="81" fillId="27" borderId="0" applyBorder="0">
      <alignment horizontal="right"/>
    </xf>
    <xf numFmtId="4" fontId="81" fillId="27" borderId="0" applyFont="0" applyBorder="0">
      <alignment horizontal="right"/>
    </xf>
    <xf numFmtId="4" fontId="81" fillId="27" borderId="0" applyBorder="0">
      <alignment horizontal="right"/>
    </xf>
    <xf numFmtId="4" fontId="81" fillId="70" borderId="82" applyBorder="0">
      <alignment horizontal="right"/>
    </xf>
    <xf numFmtId="4" fontId="81" fillId="27" borderId="3" applyFont="0" applyBorder="0">
      <alignment horizontal="right"/>
    </xf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231" fontId="112" fillId="0" borderId="48">
      <alignment vertical="top" wrapText="1"/>
    </xf>
    <xf numFmtId="181" fontId="9" fillId="0" borderId="3" applyFont="0" applyFill="0" applyBorder="0" applyProtection="0">
      <alignment horizontal="center" vertical="center"/>
    </xf>
    <xf numFmtId="3" fontId="9" fillId="0" borderId="0" applyFont="0" applyBorder="0">
      <alignment horizontal="center"/>
    </xf>
    <xf numFmtId="232" fontId="109" fillId="0" borderId="0">
      <protection locked="0"/>
    </xf>
    <xf numFmtId="49" fontId="168" fillId="0" borderId="3">
      <alignment horizontal="center" vertical="center" wrapText="1"/>
    </xf>
    <xf numFmtId="0" fontId="112" fillId="0" borderId="3" applyBorder="0">
      <alignment horizontal="center" vertical="center" wrapText="1"/>
    </xf>
    <xf numFmtId="49" fontId="154" fillId="0" borderId="3" applyNumberFormat="0" applyFill="0" applyAlignment="0" applyProtection="0"/>
    <xf numFmtId="227" fontId="9" fillId="0" borderId="0"/>
    <xf numFmtId="0" fontId="12" fillId="0" borderId="0"/>
    <xf numFmtId="0" fontId="81" fillId="0" borderId="0">
      <alignment horizontal="left" vertical="center"/>
    </xf>
    <xf numFmtId="49" fontId="81" fillId="0" borderId="0" applyBorder="0">
      <alignment vertical="top"/>
    </xf>
    <xf numFmtId="49" fontId="81" fillId="0" borderId="0" applyBorder="0">
      <alignment vertical="top"/>
    </xf>
    <xf numFmtId="0" fontId="81" fillId="0" borderId="0">
      <alignment horizontal="left" vertical="center"/>
    </xf>
    <xf numFmtId="49" fontId="81" fillId="0" borderId="0" applyBorder="0">
      <alignment vertical="top"/>
    </xf>
    <xf numFmtId="0" fontId="9" fillId="0" borderId="0"/>
    <xf numFmtId="0" fontId="25" fillId="0" borderId="0"/>
    <xf numFmtId="0" fontId="9" fillId="0" borderId="0"/>
    <xf numFmtId="0" fontId="112" fillId="0" borderId="0"/>
    <xf numFmtId="0" fontId="9" fillId="0" borderId="0"/>
    <xf numFmtId="0" fontId="4" fillId="0" borderId="0"/>
    <xf numFmtId="198" fontId="62" fillId="0" borderId="0" applyFont="0" applyFill="0" applyBorder="0" applyAlignment="0" applyProtection="0"/>
    <xf numFmtId="0" fontId="13" fillId="0" borderId="0"/>
    <xf numFmtId="234" fontId="134" fillId="0" borderId="0"/>
    <xf numFmtId="0" fontId="4" fillId="0" borderId="0"/>
    <xf numFmtId="0" fontId="9" fillId="0" borderId="0"/>
    <xf numFmtId="16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3" fillId="0" borderId="0" applyNumberForma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9" fillId="0" borderId="0" applyFont="0" applyFill="0" applyBorder="0" applyAlignment="0" applyProtection="0"/>
    <xf numFmtId="234" fontId="134" fillId="0" borderId="0"/>
    <xf numFmtId="234" fontId="134" fillId="0" borderId="0"/>
    <xf numFmtId="0" fontId="112" fillId="0" borderId="0"/>
    <xf numFmtId="234" fontId="134" fillId="0" borderId="0"/>
    <xf numFmtId="0" fontId="112" fillId="0" borderId="0"/>
    <xf numFmtId="0" fontId="112" fillId="0" borderId="0"/>
    <xf numFmtId="0" fontId="9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7">
    <xf numFmtId="0" fontId="0" fillId="0" borderId="0" xfId="0"/>
    <xf numFmtId="0" fontId="27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left" vertical="center" wrapText="1" indent="1"/>
    </xf>
    <xf numFmtId="165" fontId="27" fillId="4" borderId="3" xfId="2" applyNumberFormat="1" applyFont="1" applyFill="1" applyBorder="1" applyAlignment="1">
      <alignment horizontal="center" vertical="center"/>
    </xf>
    <xf numFmtId="164" fontId="27" fillId="4" borderId="3" xfId="1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/>
    <xf numFmtId="165" fontId="27" fillId="2" borderId="5" xfId="2" applyNumberFormat="1" applyFont="1" applyFill="1" applyBorder="1" applyAlignment="1">
      <alignment horizontal="center" vertical="center" wrapText="1"/>
    </xf>
    <xf numFmtId="165" fontId="27" fillId="2" borderId="3" xfId="2" applyNumberFormat="1" applyFont="1" applyFill="1" applyBorder="1" applyAlignment="1">
      <alignment horizontal="center" vertical="center" wrapText="1"/>
    </xf>
    <xf numFmtId="0" fontId="34" fillId="0" borderId="0" xfId="0" applyFont="1"/>
    <xf numFmtId="165" fontId="35" fillId="2" borderId="3" xfId="2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left" vertical="center" wrapText="1" indent="1"/>
    </xf>
    <xf numFmtId="165" fontId="35" fillId="4" borderId="3" xfId="2" applyNumberFormat="1" applyFont="1" applyFill="1" applyBorder="1" applyAlignment="1">
      <alignment horizontal="center" vertical="center"/>
    </xf>
    <xf numFmtId="164" fontId="36" fillId="4" borderId="3" xfId="1" applyFont="1" applyFill="1" applyBorder="1" applyAlignment="1">
      <alignment horizontal="center" vertical="center"/>
    </xf>
    <xf numFmtId="164" fontId="35" fillId="4" borderId="3" xfId="1" applyFont="1" applyFill="1" applyBorder="1" applyAlignment="1">
      <alignment horizontal="center" vertical="center"/>
    </xf>
    <xf numFmtId="0" fontId="29" fillId="0" borderId="0" xfId="0" applyFont="1"/>
    <xf numFmtId="170" fontId="34" fillId="0" borderId="0" xfId="0" applyNumberFormat="1" applyFont="1"/>
    <xf numFmtId="0" fontId="28" fillId="0" borderId="0" xfId="0" applyFont="1" applyBorder="1"/>
    <xf numFmtId="4" fontId="38" fillId="5" borderId="3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 wrapText="1" indent="1"/>
    </xf>
    <xf numFmtId="0" fontId="27" fillId="4" borderId="0" xfId="0" applyFont="1" applyFill="1" applyBorder="1" applyAlignment="1">
      <alignment horizontal="left" vertical="center" indent="1"/>
    </xf>
    <xf numFmtId="0" fontId="28" fillId="0" borderId="0" xfId="0" applyNumberFormat="1" applyFont="1"/>
    <xf numFmtId="0" fontId="28" fillId="0" borderId="0" xfId="0" applyNumberFormat="1" applyFont="1" applyBorder="1"/>
    <xf numFmtId="164" fontId="38" fillId="5" borderId="3" xfId="1" applyFont="1" applyFill="1" applyBorder="1" applyAlignment="1">
      <alignment horizontal="center" vertical="center"/>
    </xf>
    <xf numFmtId="165" fontId="27" fillId="4" borderId="6" xfId="2" applyNumberFormat="1" applyFont="1" applyFill="1" applyBorder="1" applyAlignment="1">
      <alignment horizontal="center" vertical="center"/>
    </xf>
    <xf numFmtId="164" fontId="39" fillId="0" borderId="3" xfId="1" applyFont="1" applyBorder="1"/>
    <xf numFmtId="0" fontId="28" fillId="0" borderId="3" xfId="0" applyFont="1" applyBorder="1"/>
    <xf numFmtId="0" fontId="40" fillId="0" borderId="0" xfId="0" applyFont="1"/>
    <xf numFmtId="0" fontId="41" fillId="0" borderId="0" xfId="0" applyFont="1"/>
    <xf numFmtId="17" fontId="0" fillId="0" borderId="3" xfId="0" applyNumberFormat="1" applyFont="1" applyBorder="1"/>
    <xf numFmtId="0" fontId="0" fillId="0" borderId="0" xfId="0" applyFont="1" applyFill="1"/>
    <xf numFmtId="0" fontId="0" fillId="0" borderId="0" xfId="0" applyFont="1"/>
    <xf numFmtId="4" fontId="9" fillId="0" borderId="0" xfId="28" applyNumberFormat="1" applyFont="1" applyFill="1" applyBorder="1"/>
    <xf numFmtId="0" fontId="43" fillId="0" borderId="0" xfId="0" applyFont="1" applyAlignment="1">
      <alignment horizontal="right"/>
    </xf>
    <xf numFmtId="164" fontId="0" fillId="0" borderId="0" xfId="0" applyNumberFormat="1"/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0" fillId="0" borderId="0" xfId="11" applyFont="1"/>
    <xf numFmtId="0" fontId="0" fillId="0" borderId="16" xfId="0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172" fontId="0" fillId="0" borderId="16" xfId="27" applyNumberFormat="1" applyFont="1" applyBorder="1" applyAlignment="1">
      <alignment horizontal="center" vertical="center"/>
    </xf>
    <xf numFmtId="174" fontId="0" fillId="0" borderId="0" xfId="0" applyNumberFormat="1"/>
    <xf numFmtId="0" fontId="0" fillId="0" borderId="0" xfId="0" applyAlignment="1">
      <alignment horizontal="center" vertical="center"/>
    </xf>
    <xf numFmtId="169" fontId="0" fillId="0" borderId="0" xfId="0" applyNumberFormat="1"/>
    <xf numFmtId="0" fontId="50" fillId="0" borderId="0" xfId="0" applyFont="1"/>
    <xf numFmtId="169" fontId="50" fillId="0" borderId="0" xfId="0" applyNumberFormat="1" applyFont="1"/>
    <xf numFmtId="177" fontId="0" fillId="0" borderId="0" xfId="11" applyNumberFormat="1" applyFont="1"/>
    <xf numFmtId="164" fontId="42" fillId="0" borderId="0" xfId="11" applyFont="1"/>
    <xf numFmtId="0" fontId="42" fillId="0" borderId="0" xfId="0" applyFont="1"/>
    <xf numFmtId="0" fontId="0" fillId="0" borderId="0" xfId="0" applyAlignment="1"/>
    <xf numFmtId="9" fontId="0" fillId="0" borderId="0" xfId="38" applyFont="1"/>
    <xf numFmtId="0" fontId="54" fillId="0" borderId="0" xfId="0" applyFont="1" applyBorder="1"/>
    <xf numFmtId="0" fontId="54" fillId="0" borderId="0" xfId="0" applyFont="1" applyBorder="1" applyAlignment="1">
      <alignment horizontal="center"/>
    </xf>
    <xf numFmtId="0" fontId="54" fillId="0" borderId="0" xfId="0" applyFont="1"/>
    <xf numFmtId="174" fontId="54" fillId="0" borderId="0" xfId="0" applyNumberFormat="1" applyFont="1"/>
    <xf numFmtId="172" fontId="54" fillId="0" borderId="0" xfId="0" applyNumberFormat="1" applyFont="1"/>
    <xf numFmtId="0" fontId="54" fillId="0" borderId="3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 wrapText="1"/>
    </xf>
    <xf numFmtId="0" fontId="54" fillId="0" borderId="3" xfId="0" applyFont="1" applyBorder="1"/>
    <xf numFmtId="0" fontId="54" fillId="0" borderId="3" xfId="0" applyFont="1" applyBorder="1" applyAlignment="1">
      <alignment horizontal="center"/>
    </xf>
    <xf numFmtId="4" fontId="54" fillId="0" borderId="3" xfId="0" applyNumberFormat="1" applyFont="1" applyBorder="1"/>
    <xf numFmtId="0" fontId="54" fillId="0" borderId="20" xfId="0" applyFont="1" applyBorder="1" applyAlignment="1">
      <alignment horizontal="center"/>
    </xf>
    <xf numFmtId="0" fontId="54" fillId="0" borderId="42" xfId="40" applyFont="1" applyBorder="1"/>
    <xf numFmtId="174" fontId="54" fillId="0" borderId="34" xfId="0" applyNumberFormat="1" applyFont="1" applyBorder="1"/>
    <xf numFmtId="164" fontId="54" fillId="0" borderId="43" xfId="0" applyNumberFormat="1" applyFont="1" applyBorder="1"/>
    <xf numFmtId="174" fontId="54" fillId="0" borderId="43" xfId="0" applyNumberFormat="1" applyFont="1" applyBorder="1"/>
    <xf numFmtId="164" fontId="54" fillId="0" borderId="35" xfId="0" applyNumberFormat="1" applyFont="1" applyBorder="1"/>
    <xf numFmtId="164" fontId="54" fillId="0" borderId="34" xfId="0" applyNumberFormat="1" applyFont="1" applyBorder="1"/>
    <xf numFmtId="172" fontId="56" fillId="0" borderId="34" xfId="11" applyNumberFormat="1" applyFont="1" applyBorder="1"/>
    <xf numFmtId="164" fontId="54" fillId="12" borderId="44" xfId="0" applyNumberFormat="1" applyFont="1" applyFill="1" applyBorder="1"/>
    <xf numFmtId="164" fontId="54" fillId="13" borderId="42" xfId="0" applyNumberFormat="1" applyFont="1" applyFill="1" applyBorder="1"/>
    <xf numFmtId="164" fontId="54" fillId="0" borderId="0" xfId="0" applyNumberFormat="1" applyFont="1"/>
    <xf numFmtId="0" fontId="54" fillId="0" borderId="30" xfId="40" applyFont="1" applyBorder="1"/>
    <xf numFmtId="174" fontId="54" fillId="0" borderId="31" xfId="0" applyNumberFormat="1" applyFont="1" applyBorder="1"/>
    <xf numFmtId="164" fontId="54" fillId="0" borderId="32" xfId="0" applyNumberFormat="1" applyFont="1" applyBorder="1"/>
    <xf numFmtId="174" fontId="54" fillId="0" borderId="32" xfId="0" applyNumberFormat="1" applyFont="1" applyBorder="1"/>
    <xf numFmtId="164" fontId="54" fillId="0" borderId="33" xfId="0" applyNumberFormat="1" applyFont="1" applyBorder="1"/>
    <xf numFmtId="164" fontId="54" fillId="0" borderId="31" xfId="0" applyNumberFormat="1" applyFont="1" applyBorder="1"/>
    <xf numFmtId="172" fontId="56" fillId="0" borderId="31" xfId="11" applyNumberFormat="1" applyFont="1" applyBorder="1"/>
    <xf numFmtId="164" fontId="54" fillId="12" borderId="45" xfId="0" applyNumberFormat="1" applyFont="1" applyFill="1" applyBorder="1"/>
    <xf numFmtId="164" fontId="54" fillId="13" borderId="30" xfId="0" applyNumberFormat="1" applyFont="1" applyFill="1" applyBorder="1"/>
    <xf numFmtId="0" fontId="54" fillId="14" borderId="30" xfId="40" applyFont="1" applyFill="1" applyBorder="1"/>
    <xf numFmtId="174" fontId="54" fillId="14" borderId="31" xfId="0" applyNumberFormat="1" applyFont="1" applyFill="1" applyBorder="1"/>
    <xf numFmtId="180" fontId="54" fillId="14" borderId="32" xfId="0" applyNumberFormat="1" applyFont="1" applyFill="1" applyBorder="1"/>
    <xf numFmtId="174" fontId="54" fillId="14" borderId="32" xfId="0" applyNumberFormat="1" applyFont="1" applyFill="1" applyBorder="1"/>
    <xf numFmtId="164" fontId="54" fillId="14" borderId="33" xfId="0" applyNumberFormat="1" applyFont="1" applyFill="1" applyBorder="1"/>
    <xf numFmtId="172" fontId="56" fillId="14" borderId="31" xfId="11" applyNumberFormat="1" applyFont="1" applyFill="1" applyBorder="1"/>
    <xf numFmtId="164" fontId="56" fillId="14" borderId="33" xfId="11" applyNumberFormat="1" applyFont="1" applyFill="1" applyBorder="1"/>
    <xf numFmtId="164" fontId="56" fillId="14" borderId="45" xfId="11" applyNumberFormat="1" applyFont="1" applyFill="1" applyBorder="1"/>
    <xf numFmtId="164" fontId="56" fillId="15" borderId="30" xfId="11" applyNumberFormat="1" applyFont="1" applyFill="1" applyBorder="1"/>
    <xf numFmtId="180" fontId="54" fillId="0" borderId="32" xfId="0" applyNumberFormat="1" applyFont="1" applyBorder="1"/>
    <xf numFmtId="164" fontId="57" fillId="14" borderId="31" xfId="9" applyNumberFormat="1" applyFont="1" applyFill="1" applyBorder="1"/>
    <xf numFmtId="164" fontId="57" fillId="14" borderId="32" xfId="9" applyNumberFormat="1" applyFont="1" applyFill="1" applyBorder="1"/>
    <xf numFmtId="172" fontId="57" fillId="14" borderId="32" xfId="9" applyNumberFormat="1" applyFont="1" applyFill="1" applyBorder="1"/>
    <xf numFmtId="164" fontId="57" fillId="14" borderId="33" xfId="9" applyNumberFormat="1" applyFont="1" applyFill="1" applyBorder="1"/>
    <xf numFmtId="172" fontId="57" fillId="14" borderId="31" xfId="9" applyNumberFormat="1" applyFont="1" applyFill="1" applyBorder="1"/>
    <xf numFmtId="164" fontId="57" fillId="14" borderId="45" xfId="9" applyNumberFormat="1" applyFont="1" applyFill="1" applyBorder="1" applyAlignment="1">
      <alignment horizontal="center"/>
    </xf>
    <xf numFmtId="164" fontId="57" fillId="15" borderId="30" xfId="9" applyNumberFormat="1" applyFont="1" applyFill="1" applyBorder="1" applyAlignment="1">
      <alignment horizontal="center"/>
    </xf>
    <xf numFmtId="174" fontId="54" fillId="0" borderId="31" xfId="0" applyNumberFormat="1" applyFont="1" applyFill="1" applyBorder="1"/>
    <xf numFmtId="164" fontId="54" fillId="0" borderId="32" xfId="0" applyNumberFormat="1" applyFont="1" applyFill="1" applyBorder="1"/>
    <xf numFmtId="174" fontId="54" fillId="0" borderId="32" xfId="0" applyNumberFormat="1" applyFont="1" applyFill="1" applyBorder="1"/>
    <xf numFmtId="180" fontId="54" fillId="0" borderId="32" xfId="0" applyNumberFormat="1" applyFont="1" applyFill="1" applyBorder="1"/>
    <xf numFmtId="164" fontId="54" fillId="0" borderId="33" xfId="0" applyNumberFormat="1" applyFont="1" applyFill="1" applyBorder="1"/>
    <xf numFmtId="164" fontId="54" fillId="0" borderId="31" xfId="0" applyNumberFormat="1" applyFont="1" applyFill="1" applyBorder="1"/>
    <xf numFmtId="164" fontId="54" fillId="14" borderId="31" xfId="11" applyNumberFormat="1" applyFont="1" applyFill="1" applyBorder="1"/>
    <xf numFmtId="164" fontId="54" fillId="14" borderId="32" xfId="11" applyNumberFormat="1" applyFont="1" applyFill="1" applyBorder="1"/>
    <xf numFmtId="164" fontId="54" fillId="14" borderId="33" xfId="11" applyNumberFormat="1" applyFont="1" applyFill="1" applyBorder="1"/>
    <xf numFmtId="164" fontId="54" fillId="14" borderId="45" xfId="11" applyNumberFormat="1" applyFont="1" applyFill="1" applyBorder="1" applyAlignment="1">
      <alignment horizontal="center"/>
    </xf>
    <xf numFmtId="164" fontId="54" fillId="15" borderId="30" xfId="11" applyNumberFormat="1" applyFont="1" applyFill="1" applyBorder="1" applyAlignment="1">
      <alignment horizontal="center"/>
    </xf>
    <xf numFmtId="172" fontId="58" fillId="14" borderId="31" xfId="9" applyNumberFormat="1" applyFont="1" applyFill="1" applyBorder="1"/>
    <xf numFmtId="164" fontId="58" fillId="14" borderId="32" xfId="9" applyNumberFormat="1" applyFont="1" applyFill="1" applyBorder="1"/>
    <xf numFmtId="172" fontId="58" fillId="14" borderId="32" xfId="9" applyNumberFormat="1" applyFont="1" applyFill="1" applyBorder="1"/>
    <xf numFmtId="164" fontId="58" fillId="14" borderId="33" xfId="9" applyNumberFormat="1" applyFont="1" applyFill="1" applyBorder="1"/>
    <xf numFmtId="164" fontId="58" fillId="14" borderId="45" xfId="9" applyNumberFormat="1" applyFont="1" applyFill="1" applyBorder="1"/>
    <xf numFmtId="164" fontId="58" fillId="15" borderId="30" xfId="9" applyNumberFormat="1" applyFont="1" applyFill="1" applyBorder="1"/>
    <xf numFmtId="0" fontId="54" fillId="14" borderId="37" xfId="40" applyFont="1" applyFill="1" applyBorder="1"/>
    <xf numFmtId="172" fontId="57" fillId="14" borderId="38" xfId="9" applyNumberFormat="1" applyFont="1" applyFill="1" applyBorder="1"/>
    <xf numFmtId="164" fontId="57" fillId="14" borderId="39" xfId="9" applyNumberFormat="1" applyFont="1" applyFill="1" applyBorder="1"/>
    <xf numFmtId="172" fontId="57" fillId="14" borderId="39" xfId="9" applyNumberFormat="1" applyFont="1" applyFill="1" applyBorder="1"/>
    <xf numFmtId="164" fontId="57" fillId="14" borderId="40" xfId="9" applyNumberFormat="1" applyFont="1" applyFill="1" applyBorder="1"/>
    <xf numFmtId="164" fontId="57" fillId="14" borderId="38" xfId="9" applyNumberFormat="1" applyFont="1" applyFill="1" applyBorder="1"/>
    <xf numFmtId="164" fontId="57" fillId="16" borderId="46" xfId="9" applyNumberFormat="1" applyFont="1" applyFill="1" applyBorder="1"/>
    <xf numFmtId="164" fontId="57" fillId="16" borderId="37" xfId="9" applyNumberFormat="1" applyFont="1" applyFill="1" applyBorder="1"/>
    <xf numFmtId="164" fontId="57" fillId="11" borderId="37" xfId="9" applyNumberFormat="1" applyFont="1" applyFill="1" applyBorder="1"/>
    <xf numFmtId="0" fontId="59" fillId="0" borderId="0" xfId="41" applyFont="1" applyFill="1"/>
    <xf numFmtId="0" fontId="59" fillId="0" borderId="3" xfId="41" applyFont="1" applyFill="1" applyBorder="1"/>
    <xf numFmtId="0" fontId="59" fillId="0" borderId="47" xfId="41" applyFont="1" applyFill="1" applyBorder="1" applyAlignment="1">
      <alignment horizontal="center" vertical="center"/>
    </xf>
    <xf numFmtId="0" fontId="61" fillId="0" borderId="3" xfId="42" applyFont="1" applyFill="1" applyBorder="1"/>
    <xf numFmtId="0" fontId="54" fillId="0" borderId="3" xfId="41" applyFont="1" applyFill="1" applyBorder="1"/>
    <xf numFmtId="169" fontId="54" fillId="0" borderId="3" xfId="41" applyNumberFormat="1" applyFont="1" applyFill="1" applyBorder="1"/>
    <xf numFmtId="169" fontId="62" fillId="0" borderId="3" xfId="41" applyNumberFormat="1" applyFont="1" applyFill="1" applyBorder="1"/>
    <xf numFmtId="0" fontId="62" fillId="0" borderId="3" xfId="43" applyFont="1" applyFill="1" applyBorder="1" applyAlignment="1" applyProtection="1">
      <alignment vertical="center" wrapText="1"/>
      <protection hidden="1"/>
    </xf>
    <xf numFmtId="0" fontId="54" fillId="0" borderId="3" xfId="41" applyFont="1" applyFill="1" applyBorder="1" applyAlignment="1">
      <alignment vertical="center"/>
    </xf>
    <xf numFmtId="181" fontId="62" fillId="0" borderId="3" xfId="41" applyNumberFormat="1" applyFont="1" applyFill="1" applyBorder="1" applyAlignment="1">
      <alignment vertical="center"/>
    </xf>
    <xf numFmtId="169" fontId="54" fillId="0" borderId="3" xfId="41" applyNumberFormat="1" applyFont="1" applyFill="1" applyBorder="1" applyAlignment="1">
      <alignment horizontal="right"/>
    </xf>
    <xf numFmtId="181" fontId="59" fillId="0" borderId="0" xfId="41" applyNumberFormat="1" applyFont="1" applyFill="1"/>
    <xf numFmtId="181" fontId="62" fillId="11" borderId="3" xfId="41" applyNumberFormat="1" applyFont="1" applyFill="1" applyBorder="1" applyAlignment="1">
      <alignment vertical="center"/>
    </xf>
    <xf numFmtId="0" fontId="63" fillId="0" borderId="3" xfId="41" applyFont="1" applyFill="1" applyBorder="1" applyAlignment="1">
      <alignment horizontal="center" vertical="center"/>
    </xf>
    <xf numFmtId="0" fontId="56" fillId="0" borderId="3" xfId="41" applyFont="1" applyFill="1" applyBorder="1" applyAlignment="1">
      <alignment horizontal="center" vertical="center" wrapText="1"/>
    </xf>
    <xf numFmtId="0" fontId="59" fillId="0" borderId="3" xfId="41" applyFont="1" applyFill="1" applyBorder="1" applyAlignment="1">
      <alignment horizontal="center" vertical="center"/>
    </xf>
    <xf numFmtId="0" fontId="62" fillId="0" borderId="3" xfId="43" applyFont="1" applyFill="1" applyBorder="1" applyAlignment="1" applyProtection="1">
      <alignment horizontal="center" vertical="center" wrapText="1"/>
      <protection hidden="1"/>
    </xf>
    <xf numFmtId="0" fontId="62" fillId="0" borderId="25" xfId="43" applyFont="1" applyFill="1" applyBorder="1" applyAlignment="1" applyProtection="1">
      <alignment horizontal="center" vertical="center" wrapText="1"/>
      <protection hidden="1"/>
    </xf>
    <xf numFmtId="0" fontId="62" fillId="0" borderId="24" xfId="43" applyFont="1" applyFill="1" applyBorder="1" applyAlignment="1" applyProtection="1">
      <alignment horizontal="center" vertical="center" wrapText="1"/>
      <protection hidden="1"/>
    </xf>
    <xf numFmtId="4" fontId="54" fillId="0" borderId="3" xfId="41" applyNumberFormat="1" applyFont="1" applyFill="1" applyBorder="1" applyAlignment="1">
      <alignment horizontal="center"/>
    </xf>
    <xf numFmtId="2" fontId="54" fillId="0" borderId="3" xfId="41" applyNumberFormat="1" applyFont="1" applyFill="1" applyBorder="1"/>
    <xf numFmtId="0" fontId="54" fillId="0" borderId="3" xfId="41" applyFont="1" applyFill="1" applyBorder="1" applyAlignment="1">
      <alignment horizontal="center" vertical="center"/>
    </xf>
    <xf numFmtId="2" fontId="54" fillId="0" borderId="3" xfId="41" applyNumberFormat="1" applyFont="1" applyFill="1" applyBorder="1" applyAlignment="1">
      <alignment horizontal="right" vertical="center"/>
    </xf>
    <xf numFmtId="181" fontId="54" fillId="0" borderId="3" xfId="41" applyNumberFormat="1" applyFont="1" applyFill="1" applyBorder="1"/>
    <xf numFmtId="164" fontId="54" fillId="0" borderId="3" xfId="1" applyFont="1" applyFill="1" applyBorder="1" applyAlignment="1">
      <alignment horizontal="right" vertical="center"/>
    </xf>
    <xf numFmtId="2" fontId="54" fillId="0" borderId="51" xfId="41" applyNumberFormat="1" applyFont="1" applyFill="1" applyBorder="1"/>
    <xf numFmtId="2" fontId="54" fillId="0" borderId="52" xfId="41" applyNumberFormat="1" applyFont="1" applyFill="1" applyBorder="1"/>
    <xf numFmtId="171" fontId="59" fillId="0" borderId="0" xfId="41" applyNumberFormat="1" applyFont="1" applyFill="1"/>
    <xf numFmtId="2" fontId="59" fillId="0" borderId="0" xfId="41" applyNumberFormat="1" applyFont="1" applyFill="1"/>
    <xf numFmtId="2" fontId="54" fillId="0" borderId="53" xfId="41" applyNumberFormat="1" applyFont="1" applyFill="1" applyBorder="1"/>
    <xf numFmtId="2" fontId="54" fillId="0" borderId="6" xfId="41" applyNumberFormat="1" applyFont="1" applyFill="1" applyBorder="1"/>
    <xf numFmtId="2" fontId="54" fillId="0" borderId="54" xfId="41" applyNumberFormat="1" applyFont="1" applyFill="1" applyBorder="1"/>
    <xf numFmtId="2" fontId="54" fillId="0" borderId="1" xfId="41" applyNumberFormat="1" applyFont="1" applyFill="1" applyBorder="1"/>
    <xf numFmtId="0" fontId="63" fillId="0" borderId="3" xfId="41" applyFont="1" applyFill="1" applyBorder="1"/>
    <xf numFmtId="4" fontId="56" fillId="0" borderId="3" xfId="41" applyNumberFormat="1" applyFont="1" applyFill="1" applyBorder="1" applyAlignment="1">
      <alignment horizontal="center"/>
    </xf>
    <xf numFmtId="2" fontId="56" fillId="0" borderId="3" xfId="41" applyNumberFormat="1" applyFont="1" applyFill="1" applyBorder="1" applyAlignment="1">
      <alignment horizontal="center"/>
    </xf>
    <xf numFmtId="2" fontId="56" fillId="0" borderId="3" xfId="41" applyNumberFormat="1" applyFont="1" applyFill="1" applyBorder="1" applyAlignment="1">
      <alignment horizontal="right" vertical="center"/>
    </xf>
    <xf numFmtId="4" fontId="56" fillId="0" borderId="3" xfId="41" applyNumberFormat="1" applyFont="1" applyFill="1" applyBorder="1" applyAlignment="1">
      <alignment horizontal="right"/>
    </xf>
    <xf numFmtId="164" fontId="56" fillId="0" borderId="3" xfId="1" applyFont="1" applyFill="1" applyBorder="1" applyAlignment="1">
      <alignment horizontal="right" vertical="center"/>
    </xf>
    <xf numFmtId="4" fontId="56" fillId="0" borderId="49" xfId="41" applyNumberFormat="1" applyFont="1" applyFill="1" applyBorder="1" applyAlignment="1">
      <alignment horizontal="center"/>
    </xf>
    <xf numFmtId="4" fontId="56" fillId="0" borderId="24" xfId="41" applyNumberFormat="1" applyFont="1" applyFill="1" applyBorder="1" applyAlignment="1">
      <alignment horizontal="center"/>
    </xf>
    <xf numFmtId="4" fontId="59" fillId="0" borderId="0" xfId="41" applyNumberFormat="1" applyFont="1" applyFill="1"/>
    <xf numFmtId="168" fontId="54" fillId="0" borderId="3" xfId="41" applyNumberFormat="1" applyFont="1" applyFill="1" applyBorder="1"/>
    <xf numFmtId="2" fontId="54" fillId="0" borderId="55" xfId="41" applyNumberFormat="1" applyFont="1" applyFill="1" applyBorder="1"/>
    <xf numFmtId="2" fontId="54" fillId="0" borderId="56" xfId="41" applyNumberFormat="1" applyFont="1" applyFill="1" applyBorder="1"/>
    <xf numFmtId="181" fontId="56" fillId="0" borderId="3" xfId="41" applyNumberFormat="1" applyFont="1" applyFill="1" applyBorder="1" applyAlignment="1">
      <alignment horizontal="right"/>
    </xf>
    <xf numFmtId="4" fontId="56" fillId="0" borderId="57" xfId="41" applyNumberFormat="1" applyFont="1" applyFill="1" applyBorder="1" applyAlignment="1">
      <alignment horizontal="center"/>
    </xf>
    <xf numFmtId="4" fontId="56" fillId="0" borderId="58" xfId="41" applyNumberFormat="1" applyFont="1" applyFill="1" applyBorder="1" applyAlignment="1">
      <alignment horizontal="center"/>
    </xf>
    <xf numFmtId="4" fontId="56" fillId="0" borderId="3" xfId="41" applyNumberFormat="1" applyFont="1" applyFill="1" applyBorder="1"/>
    <xf numFmtId="164" fontId="56" fillId="0" borderId="3" xfId="1" applyFont="1" applyFill="1" applyBorder="1"/>
    <xf numFmtId="182" fontId="59" fillId="0" borderId="0" xfId="41" applyNumberFormat="1" applyFont="1" applyFill="1"/>
    <xf numFmtId="0" fontId="64" fillId="0" borderId="0" xfId="41" applyFont="1" applyFill="1"/>
    <xf numFmtId="0" fontId="65" fillId="0" borderId="0" xfId="41" applyFont="1" applyFill="1"/>
    <xf numFmtId="0" fontId="63" fillId="0" borderId="6" xfId="44" applyFont="1" applyFill="1" applyBorder="1" applyAlignment="1">
      <alignment horizontal="center" vertical="center" wrapText="1"/>
    </xf>
    <xf numFmtId="0" fontId="63" fillId="0" borderId="59" xfId="44" applyFont="1" applyFill="1" applyBorder="1" applyAlignment="1">
      <alignment horizontal="center" vertical="center" wrapText="1"/>
    </xf>
    <xf numFmtId="0" fontId="63" fillId="0" borderId="19" xfId="44" applyFont="1" applyFill="1" applyBorder="1" applyAlignment="1">
      <alignment horizontal="center" vertical="center" wrapText="1"/>
    </xf>
    <xf numFmtId="0" fontId="63" fillId="0" borderId="3" xfId="44" applyFont="1" applyFill="1" applyBorder="1" applyAlignment="1">
      <alignment horizontal="center" vertical="center" wrapText="1"/>
    </xf>
    <xf numFmtId="164" fontId="63" fillId="0" borderId="0" xfId="45" applyFont="1" applyBorder="1"/>
    <xf numFmtId="0" fontId="59" fillId="0" borderId="0" xfId="44" applyFont="1" applyBorder="1"/>
    <xf numFmtId="0" fontId="59" fillId="0" borderId="0" xfId="44" applyFont="1"/>
    <xf numFmtId="0" fontId="63" fillId="0" borderId="2" xfId="44" applyFont="1" applyFill="1" applyBorder="1" applyAlignment="1">
      <alignment horizontal="center" vertical="center" wrapText="1"/>
    </xf>
    <xf numFmtId="0" fontId="63" fillId="0" borderId="7" xfId="44" applyFont="1" applyFill="1" applyBorder="1" applyAlignment="1">
      <alignment horizontal="center" vertical="center" wrapText="1"/>
    </xf>
    <xf numFmtId="0" fontId="63" fillId="0" borderId="1" xfId="44" applyFont="1" applyFill="1" applyBorder="1" applyAlignment="1">
      <alignment horizontal="center" vertical="center" wrapText="1"/>
    </xf>
    <xf numFmtId="0" fontId="63" fillId="0" borderId="47" xfId="44" applyFont="1" applyFill="1" applyBorder="1" applyAlignment="1">
      <alignment horizontal="center" vertical="center" wrapText="1"/>
    </xf>
    <xf numFmtId="0" fontId="59" fillId="0" borderId="0" xfId="44" applyFont="1" applyAlignment="1">
      <alignment horizontal="center"/>
    </xf>
    <xf numFmtId="0" fontId="65" fillId="17" borderId="1" xfId="44" applyFont="1" applyFill="1" applyBorder="1"/>
    <xf numFmtId="164" fontId="59" fillId="17" borderId="47" xfId="45" applyFont="1" applyFill="1" applyBorder="1"/>
    <xf numFmtId="164" fontId="59" fillId="17" borderId="2" xfId="45" applyFont="1" applyFill="1" applyBorder="1"/>
    <xf numFmtId="164" fontId="59" fillId="17" borderId="7" xfId="45" applyFont="1" applyFill="1" applyBorder="1"/>
    <xf numFmtId="164" fontId="59" fillId="17" borderId="1" xfId="45" applyFont="1" applyFill="1" applyBorder="1"/>
    <xf numFmtId="2" fontId="59" fillId="0" borderId="0" xfId="44" applyNumberFormat="1" applyFont="1"/>
    <xf numFmtId="0" fontId="65" fillId="0" borderId="15" xfId="44" applyFont="1" applyBorder="1"/>
    <xf numFmtId="173" fontId="59" fillId="18" borderId="48" xfId="45" applyNumberFormat="1" applyFont="1" applyFill="1" applyBorder="1"/>
    <xf numFmtId="173" fontId="59" fillId="18" borderId="60" xfId="45" applyNumberFormat="1" applyFont="1" applyFill="1" applyBorder="1"/>
    <xf numFmtId="173" fontId="59" fillId="18" borderId="0" xfId="45" applyNumberFormat="1" applyFont="1" applyFill="1" applyBorder="1"/>
    <xf numFmtId="164" fontId="59" fillId="0" borderId="15" xfId="45" applyFont="1" applyBorder="1"/>
    <xf numFmtId="164" fontId="59" fillId="18" borderId="0" xfId="45" applyFont="1" applyFill="1" applyBorder="1"/>
    <xf numFmtId="164" fontId="59" fillId="18" borderId="60" xfId="45" applyFont="1" applyFill="1" applyBorder="1"/>
    <xf numFmtId="0" fontId="64" fillId="0" borderId="15" xfId="44" applyFont="1" applyBorder="1"/>
    <xf numFmtId="164" fontId="63" fillId="0" borderId="48" xfId="45" applyFont="1" applyBorder="1"/>
    <xf numFmtId="164" fontId="63" fillId="0" borderId="15" xfId="45" applyFont="1" applyBorder="1"/>
    <xf numFmtId="164" fontId="63" fillId="0" borderId="60" xfId="45" applyFont="1" applyBorder="1"/>
    <xf numFmtId="164" fontId="59" fillId="0" borderId="0" xfId="44" applyNumberFormat="1" applyFont="1"/>
    <xf numFmtId="0" fontId="65" fillId="17" borderId="15" xfId="44" applyFont="1" applyFill="1" applyBorder="1"/>
    <xf numFmtId="164" fontId="59" fillId="17" borderId="60" xfId="45" applyFont="1" applyFill="1" applyBorder="1"/>
    <xf numFmtId="164" fontId="59" fillId="17" borderId="0" xfId="45" applyFont="1" applyFill="1" applyBorder="1"/>
    <xf numFmtId="164" fontId="59" fillId="17" borderId="15" xfId="45" applyFont="1" applyFill="1" applyBorder="1"/>
    <xf numFmtId="173" fontId="59" fillId="0" borderId="48" xfId="45" applyNumberFormat="1" applyFont="1" applyBorder="1"/>
    <xf numFmtId="173" fontId="59" fillId="0" borderId="60" xfId="45" applyNumberFormat="1" applyFont="1" applyBorder="1"/>
    <xf numFmtId="173" fontId="59" fillId="0" borderId="0" xfId="45" applyNumberFormat="1" applyFont="1" applyBorder="1"/>
    <xf numFmtId="172" fontId="59" fillId="17" borderId="60" xfId="45" applyNumberFormat="1" applyFont="1" applyFill="1" applyBorder="1"/>
    <xf numFmtId="172" fontId="59" fillId="17" borderId="0" xfId="45" applyNumberFormat="1" applyFont="1" applyFill="1" applyBorder="1"/>
    <xf numFmtId="0" fontId="59" fillId="0" borderId="0" xfId="0" applyFont="1" applyBorder="1"/>
    <xf numFmtId="172" fontId="63" fillId="0" borderId="0" xfId="45" applyNumberFormat="1" applyFont="1" applyBorder="1"/>
    <xf numFmtId="172" fontId="63" fillId="0" borderId="60" xfId="45" applyNumberFormat="1" applyFont="1" applyBorder="1"/>
    <xf numFmtId="172" fontId="59" fillId="18" borderId="0" xfId="45" applyNumberFormat="1" applyFont="1" applyFill="1" applyBorder="1"/>
    <xf numFmtId="172" fontId="59" fillId="18" borderId="60" xfId="45" applyNumberFormat="1" applyFont="1" applyFill="1" applyBorder="1"/>
    <xf numFmtId="164" fontId="59" fillId="0" borderId="0" xfId="1" applyFont="1"/>
    <xf numFmtId="183" fontId="59" fillId="0" borderId="0" xfId="44" applyNumberFormat="1" applyFont="1"/>
    <xf numFmtId="9" fontId="59" fillId="0" borderId="0" xfId="7" applyFont="1"/>
    <xf numFmtId="174" fontId="59" fillId="0" borderId="0" xfId="44" applyNumberFormat="1" applyFont="1"/>
    <xf numFmtId="165" fontId="59" fillId="0" borderId="0" xfId="44" applyNumberFormat="1" applyFont="1"/>
    <xf numFmtId="184" fontId="59" fillId="0" borderId="0" xfId="44" applyNumberFormat="1" applyFont="1"/>
    <xf numFmtId="164" fontId="63" fillId="0" borderId="4" xfId="45" applyFont="1" applyBorder="1"/>
    <xf numFmtId="172" fontId="63" fillId="0" borderId="13" xfId="45" applyNumberFormat="1" applyFont="1" applyBorder="1"/>
    <xf numFmtId="172" fontId="63" fillId="0" borderId="5" xfId="45" applyNumberFormat="1" applyFont="1" applyBorder="1"/>
    <xf numFmtId="172" fontId="59" fillId="17" borderId="2" xfId="45" applyNumberFormat="1" applyFont="1" applyFill="1" applyBorder="1"/>
    <xf numFmtId="172" fontId="59" fillId="17" borderId="7" xfId="45" applyNumberFormat="1" applyFont="1" applyFill="1" applyBorder="1"/>
    <xf numFmtId="172" fontId="59" fillId="17" borderId="15" xfId="45" applyNumberFormat="1" applyFont="1" applyFill="1" applyBorder="1"/>
    <xf numFmtId="164" fontId="59" fillId="0" borderId="48" xfId="45" applyNumberFormat="1" applyFont="1" applyBorder="1"/>
    <xf numFmtId="164" fontId="59" fillId="0" borderId="15" xfId="45" applyNumberFormat="1" applyFont="1" applyBorder="1"/>
    <xf numFmtId="164" fontId="59" fillId="0" borderId="0" xfId="45" applyNumberFormat="1" applyFont="1" applyBorder="1"/>
    <xf numFmtId="164" fontId="59" fillId="0" borderId="60" xfId="45" applyNumberFormat="1" applyFont="1" applyBorder="1"/>
    <xf numFmtId="0" fontId="64" fillId="0" borderId="4" xfId="44" applyFont="1" applyBorder="1"/>
    <xf numFmtId="164" fontId="63" fillId="0" borderId="18" xfId="45" applyFont="1" applyBorder="1"/>
    <xf numFmtId="164" fontId="63" fillId="0" borderId="18" xfId="45" applyNumberFormat="1" applyFont="1" applyBorder="1"/>
    <xf numFmtId="164" fontId="63" fillId="0" borderId="4" xfId="45" applyNumberFormat="1" applyFont="1" applyBorder="1"/>
    <xf numFmtId="164" fontId="63" fillId="0" borderId="13" xfId="45" applyNumberFormat="1" applyFont="1" applyBorder="1"/>
    <xf numFmtId="164" fontId="63" fillId="0" borderId="5" xfId="45" applyNumberFormat="1" applyFont="1" applyBorder="1"/>
    <xf numFmtId="177" fontId="59" fillId="0" borderId="0" xfId="44" applyNumberFormat="1" applyFont="1"/>
    <xf numFmtId="172" fontId="59" fillId="0" borderId="0" xfId="44" applyNumberFormat="1" applyFont="1"/>
    <xf numFmtId="0" fontId="54" fillId="0" borderId="61" xfId="0" applyFont="1" applyBorder="1" applyAlignment="1">
      <alignment horizontal="center"/>
    </xf>
    <xf numFmtId="164" fontId="54" fillId="0" borderId="62" xfId="0" applyNumberFormat="1" applyFont="1" applyBorder="1"/>
    <xf numFmtId="164" fontId="57" fillId="14" borderId="63" xfId="9" applyNumberFormat="1" applyFont="1" applyFill="1" applyBorder="1"/>
    <xf numFmtId="172" fontId="0" fillId="11" borderId="3" xfId="11" applyNumberFormat="1" applyFont="1" applyFill="1" applyBorder="1"/>
    <xf numFmtId="0" fontId="54" fillId="0" borderId="64" xfId="0" applyFont="1" applyBorder="1" applyAlignment="1">
      <alignment horizontal="center"/>
    </xf>
    <xf numFmtId="164" fontId="54" fillId="0" borderId="44" xfId="0" applyNumberFormat="1" applyFont="1" applyBorder="1"/>
    <xf numFmtId="0" fontId="63" fillId="0" borderId="69" xfId="0" applyFont="1" applyBorder="1" applyAlignment="1">
      <alignment horizontal="center" vertical="center"/>
    </xf>
    <xf numFmtId="0" fontId="63" fillId="0" borderId="70" xfId="0" applyFont="1" applyBorder="1" applyAlignment="1">
      <alignment horizontal="center" vertical="center"/>
    </xf>
    <xf numFmtId="0" fontId="59" fillId="0" borderId="17" xfId="0" applyFont="1" applyBorder="1"/>
    <xf numFmtId="186" fontId="59" fillId="0" borderId="69" xfId="30" applyNumberFormat="1" applyFont="1" applyBorder="1"/>
    <xf numFmtId="186" fontId="66" fillId="0" borderId="17" xfId="46" applyNumberFormat="1" applyFont="1" applyFill="1" applyBorder="1"/>
    <xf numFmtId="186" fontId="66" fillId="0" borderId="17" xfId="46" applyNumberFormat="1" applyFont="1" applyBorder="1"/>
    <xf numFmtId="186" fontId="63" fillId="0" borderId="17" xfId="0" applyNumberFormat="1" applyFont="1" applyBorder="1"/>
    <xf numFmtId="186" fontId="59" fillId="0" borderId="17" xfId="40" applyNumberFormat="1" applyFont="1" applyBorder="1"/>
    <xf numFmtId="186" fontId="59" fillId="0" borderId="17" xfId="47" applyNumberFormat="1" applyFont="1" applyBorder="1"/>
    <xf numFmtId="186" fontId="59" fillId="0" borderId="17" xfId="48" applyNumberFormat="1" applyFont="1" applyBorder="1"/>
    <xf numFmtId="186" fontId="59" fillId="0" borderId="61" xfId="47" applyNumberFormat="1" applyFont="1" applyBorder="1"/>
    <xf numFmtId="186" fontId="63" fillId="11" borderId="72" xfId="47" applyNumberFormat="1" applyFont="1" applyFill="1" applyBorder="1"/>
    <xf numFmtId="0" fontId="59" fillId="0" borderId="3" xfId="0" applyFont="1" applyBorder="1"/>
    <xf numFmtId="186" fontId="59" fillId="0" borderId="3" xfId="30" applyNumberFormat="1" applyFont="1" applyBorder="1"/>
    <xf numFmtId="186" fontId="66" fillId="0" borderId="3" xfId="46" applyNumberFormat="1" applyFont="1" applyFill="1" applyBorder="1"/>
    <xf numFmtId="186" fontId="66" fillId="0" borderId="3" xfId="46" applyNumberFormat="1" applyFont="1" applyBorder="1"/>
    <xf numFmtId="186" fontId="63" fillId="0" borderId="3" xfId="0" applyNumberFormat="1" applyFont="1" applyBorder="1"/>
    <xf numFmtId="186" fontId="59" fillId="0" borderId="3" xfId="40" applyNumberFormat="1" applyFont="1" applyBorder="1"/>
    <xf numFmtId="186" fontId="59" fillId="0" borderId="3" xfId="47" applyNumberFormat="1" applyFont="1" applyBorder="1"/>
    <xf numFmtId="186" fontId="59" fillId="0" borderId="3" xfId="48" applyNumberFormat="1" applyFont="1" applyBorder="1"/>
    <xf numFmtId="186" fontId="63" fillId="11" borderId="14" xfId="47" applyNumberFormat="1" applyFont="1" applyFill="1" applyBorder="1"/>
    <xf numFmtId="186" fontId="59" fillId="0" borderId="18" xfId="30" applyNumberFormat="1" applyFont="1" applyBorder="1"/>
    <xf numFmtId="186" fontId="59" fillId="0" borderId="0" xfId="47" applyNumberFormat="1" applyFont="1" applyBorder="1"/>
    <xf numFmtId="0" fontId="63" fillId="0" borderId="74" xfId="0" applyFont="1" applyBorder="1" applyAlignment="1">
      <alignment horizontal="center" textRotation="90" wrapText="1"/>
    </xf>
    <xf numFmtId="0" fontId="59" fillId="0" borderId="75" xfId="0" applyFont="1" applyBorder="1"/>
    <xf numFmtId="186" fontId="66" fillId="0" borderId="76" xfId="46" applyNumberFormat="1" applyFont="1" applyBorder="1"/>
    <xf numFmtId="186" fontId="66" fillId="0" borderId="76" xfId="46" applyNumberFormat="1" applyFont="1" applyFill="1" applyBorder="1"/>
    <xf numFmtId="186" fontId="59" fillId="0" borderId="76" xfId="0" applyNumberFormat="1" applyFont="1" applyBorder="1"/>
    <xf numFmtId="186" fontId="59" fillId="0" borderId="76" xfId="40" applyNumberFormat="1" applyFont="1" applyBorder="1"/>
    <xf numFmtId="186" fontId="59" fillId="0" borderId="76" xfId="47" applyNumberFormat="1" applyFont="1" applyBorder="1"/>
    <xf numFmtId="186" fontId="59" fillId="0" borderId="76" xfId="48" applyNumberFormat="1" applyFont="1" applyBorder="1"/>
    <xf numFmtId="186" fontId="59" fillId="0" borderId="77" xfId="47" applyNumberFormat="1" applyFont="1" applyBorder="1"/>
    <xf numFmtId="186" fontId="59" fillId="0" borderId="17" xfId="30" applyNumberFormat="1" applyFont="1" applyBorder="1"/>
    <xf numFmtId="0" fontId="59" fillId="0" borderId="47" xfId="0" applyFont="1" applyBorder="1"/>
    <xf numFmtId="186" fontId="66" fillId="0" borderId="47" xfId="46" applyNumberFormat="1" applyFont="1" applyBorder="1"/>
    <xf numFmtId="186" fontId="66" fillId="0" borderId="47" xfId="46" applyNumberFormat="1" applyFont="1" applyFill="1" applyBorder="1"/>
    <xf numFmtId="186" fontId="63" fillId="0" borderId="47" xfId="0" applyNumberFormat="1" applyFont="1" applyBorder="1"/>
    <xf numFmtId="186" fontId="59" fillId="0" borderId="47" xfId="40" applyNumberFormat="1" applyFont="1" applyBorder="1"/>
    <xf numFmtId="186" fontId="59" fillId="0" borderId="47" xfId="47" applyNumberFormat="1" applyFont="1" applyBorder="1"/>
    <xf numFmtId="186" fontId="59" fillId="0" borderId="47" xfId="48" applyNumberFormat="1" applyFont="1" applyBorder="1"/>
    <xf numFmtId="186" fontId="63" fillId="11" borderId="78" xfId="47" applyNumberFormat="1" applyFont="1" applyFill="1" applyBorder="1"/>
    <xf numFmtId="0" fontId="63" fillId="0" borderId="79" xfId="0" applyFont="1" applyBorder="1" applyAlignment="1">
      <alignment horizontal="center" wrapText="1"/>
    </xf>
    <xf numFmtId="0" fontId="59" fillId="0" borderId="80" xfId="0" applyFont="1" applyBorder="1"/>
    <xf numFmtId="186" fontId="63" fillId="0" borderId="80" xfId="0" applyNumberFormat="1" applyFont="1" applyBorder="1"/>
    <xf numFmtId="186" fontId="59" fillId="0" borderId="81" xfId="0" applyNumberFormat="1" applyFont="1" applyBorder="1"/>
    <xf numFmtId="0" fontId="59" fillId="0" borderId="76" xfId="0" applyFont="1" applyBorder="1"/>
    <xf numFmtId="186" fontId="59" fillId="0" borderId="77" xfId="0" applyNumberFormat="1" applyFont="1" applyBorder="1"/>
    <xf numFmtId="186" fontId="59" fillId="0" borderId="17" xfId="30" applyNumberFormat="1" applyFont="1" applyFill="1" applyBorder="1"/>
    <xf numFmtId="186" fontId="59" fillId="0" borderId="47" xfId="0" applyNumberFormat="1" applyFont="1" applyBorder="1"/>
    <xf numFmtId="0" fontId="59" fillId="0" borderId="18" xfId="0" applyFont="1" applyBorder="1"/>
    <xf numFmtId="186" fontId="59" fillId="0" borderId="18" xfId="0" applyNumberFormat="1" applyFont="1" applyBorder="1"/>
    <xf numFmtId="186" fontId="63" fillId="0" borderId="18" xfId="0" applyNumberFormat="1" applyFont="1" applyBorder="1"/>
    <xf numFmtId="186" fontId="63" fillId="11" borderId="18" xfId="47" applyNumberFormat="1" applyFont="1" applyFill="1" applyBorder="1"/>
    <xf numFmtId="186" fontId="59" fillId="0" borderId="3" xfId="0" applyNumberFormat="1" applyFont="1" applyBorder="1"/>
    <xf numFmtId="186" fontId="63" fillId="11" borderId="3" xfId="47" applyNumberFormat="1" applyFont="1" applyFill="1" applyBorder="1"/>
    <xf numFmtId="186" fontId="63" fillId="11" borderId="47" xfId="47" applyNumberFormat="1" applyFont="1" applyFill="1" applyBorder="1"/>
    <xf numFmtId="0" fontId="63" fillId="0" borderId="67" xfId="0" applyFont="1" applyBorder="1"/>
    <xf numFmtId="0" fontId="63" fillId="0" borderId="61" xfId="0" applyFont="1" applyBorder="1"/>
    <xf numFmtId="187" fontId="63" fillId="0" borderId="69" xfId="0" applyNumberFormat="1" applyFont="1" applyBorder="1"/>
    <xf numFmtId="186" fontId="63" fillId="0" borderId="69" xfId="0" applyNumberFormat="1" applyFont="1" applyBorder="1"/>
    <xf numFmtId="187" fontId="63" fillId="0" borderId="70" xfId="0" applyNumberFormat="1" applyFont="1" applyBorder="1"/>
    <xf numFmtId="0" fontId="59" fillId="0" borderId="71" xfId="0" applyFont="1" applyBorder="1" applyAlignment="1">
      <alignment wrapText="1"/>
    </xf>
    <xf numFmtId="0" fontId="0" fillId="0" borderId="69" xfId="0" applyFont="1" applyBorder="1"/>
    <xf numFmtId="187" fontId="0" fillId="0" borderId="69" xfId="0" applyNumberFormat="1" applyBorder="1"/>
    <xf numFmtId="187" fontId="63" fillId="11" borderId="78" xfId="47" applyNumberFormat="1" applyFont="1" applyFill="1" applyBorder="1"/>
    <xf numFmtId="0" fontId="59" fillId="0" borderId="82" xfId="0" applyFont="1" applyBorder="1" applyAlignment="1">
      <alignment wrapText="1"/>
    </xf>
    <xf numFmtId="186" fontId="59" fillId="0" borderId="17" xfId="0" applyNumberFormat="1" applyFont="1" applyBorder="1"/>
    <xf numFmtId="0" fontId="59" fillId="0" borderId="83" xfId="0" applyFont="1" applyBorder="1" applyAlignment="1">
      <alignment wrapText="1"/>
    </xf>
    <xf numFmtId="186" fontId="63" fillId="0" borderId="76" xfId="0" applyNumberFormat="1" applyFont="1" applyBorder="1"/>
    <xf numFmtId="186" fontId="63" fillId="11" borderId="77" xfId="47" applyNumberFormat="1" applyFont="1" applyFill="1" applyBorder="1"/>
    <xf numFmtId="186" fontId="67" fillId="0" borderId="80" xfId="0" applyNumberFormat="1" applyFont="1" applyBorder="1"/>
    <xf numFmtId="2" fontId="67" fillId="0" borderId="80" xfId="0" applyNumberFormat="1" applyFont="1" applyBorder="1"/>
    <xf numFmtId="2" fontId="67" fillId="0" borderId="81" xfId="0" applyNumberFormat="1" applyFont="1" applyBorder="1"/>
    <xf numFmtId="4" fontId="31" fillId="0" borderId="0" xfId="0" applyNumberFormat="1" applyFont="1"/>
    <xf numFmtId="0" fontId="31" fillId="0" borderId="0" xfId="0" applyFont="1"/>
    <xf numFmtId="4" fontId="0" fillId="0" borderId="0" xfId="0" applyNumberFormat="1"/>
    <xf numFmtId="0" fontId="68" fillId="0" borderId="0" xfId="23" applyFont="1" applyAlignment="1">
      <alignment horizontal="center"/>
    </xf>
    <xf numFmtId="0" fontId="68" fillId="0" borderId="0" xfId="23" applyFont="1"/>
    <xf numFmtId="172" fontId="68" fillId="0" borderId="0" xfId="23" applyNumberFormat="1" applyFont="1"/>
    <xf numFmtId="0" fontId="68" fillId="19" borderId="16" xfId="23" applyFont="1" applyFill="1" applyBorder="1" applyAlignment="1">
      <alignment horizontal="center" vertical="center"/>
    </xf>
    <xf numFmtId="0" fontId="68" fillId="19" borderId="0" xfId="23" applyFont="1" applyFill="1" applyBorder="1" applyAlignment="1">
      <alignment horizontal="center" vertical="center"/>
    </xf>
    <xf numFmtId="0" fontId="68" fillId="19" borderId="16" xfId="23" applyFont="1" applyFill="1" applyBorder="1" applyAlignment="1">
      <alignment vertical="center"/>
    </xf>
    <xf numFmtId="0" fontId="69" fillId="0" borderId="64" xfId="23" applyFont="1" applyBorder="1" applyAlignment="1">
      <alignment horizontal="center" vertical="center"/>
    </xf>
    <xf numFmtId="0" fontId="31" fillId="0" borderId="0" xfId="23" applyFont="1" applyBorder="1" applyAlignment="1">
      <alignment horizontal="center" vertical="center"/>
    </xf>
    <xf numFmtId="0" fontId="70" fillId="0" borderId="65" xfId="23" applyFont="1" applyBorder="1" applyAlignment="1">
      <alignment horizontal="center" vertical="center"/>
    </xf>
    <xf numFmtId="0" fontId="69" fillId="0" borderId="0" xfId="23" applyFont="1" applyBorder="1" applyAlignment="1">
      <alignment horizontal="center" vertical="center"/>
    </xf>
    <xf numFmtId="0" fontId="6" fillId="0" borderId="71" xfId="23" applyBorder="1" applyAlignment="1">
      <alignment horizontal="center" vertical="center" wrapText="1"/>
    </xf>
    <xf numFmtId="0" fontId="6" fillId="0" borderId="69" xfId="23" applyBorder="1" applyAlignment="1">
      <alignment horizontal="center" vertical="center"/>
    </xf>
    <xf numFmtId="0" fontId="6" fillId="0" borderId="85" xfId="23" applyBorder="1" applyAlignment="1">
      <alignment horizontal="center" vertical="center" wrapText="1"/>
    </xf>
    <xf numFmtId="0" fontId="69" fillId="0" borderId="26" xfId="23" applyFont="1" applyBorder="1" applyAlignment="1">
      <alignment horizontal="center" vertical="center" wrapText="1"/>
    </xf>
    <xf numFmtId="0" fontId="71" fillId="0" borderId="26" xfId="23" applyFont="1" applyBorder="1" applyAlignment="1">
      <alignment horizontal="center" vertical="center" wrapText="1"/>
    </xf>
    <xf numFmtId="0" fontId="69" fillId="0" borderId="65" xfId="23" applyFont="1" applyBorder="1" applyAlignment="1">
      <alignment horizontal="center" vertical="center" wrapText="1"/>
    </xf>
    <xf numFmtId="0" fontId="6" fillId="0" borderId="86" xfId="23" applyBorder="1" applyAlignment="1">
      <alignment horizontal="center" vertical="center"/>
    </xf>
    <xf numFmtId="0" fontId="6" fillId="0" borderId="86" xfId="23" applyBorder="1" applyAlignment="1">
      <alignment horizontal="center" vertical="center" wrapText="1"/>
    </xf>
    <xf numFmtId="0" fontId="69" fillId="0" borderId="86" xfId="23" applyFont="1" applyBorder="1" applyAlignment="1">
      <alignment horizontal="center" vertical="center" wrapText="1"/>
    </xf>
    <xf numFmtId="0" fontId="69" fillId="0" borderId="0" xfId="23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0" fontId="6" fillId="0" borderId="6" xfId="23" applyBorder="1"/>
    <xf numFmtId="172" fontId="69" fillId="0" borderId="82" xfId="11" applyNumberFormat="1" applyFont="1" applyBorder="1"/>
    <xf numFmtId="164" fontId="69" fillId="0" borderId="17" xfId="11" applyNumberFormat="1" applyFont="1" applyBorder="1"/>
    <xf numFmtId="164" fontId="69" fillId="0" borderId="52" xfId="11" applyNumberFormat="1" applyFont="1" applyBorder="1" applyAlignment="1"/>
    <xf numFmtId="172" fontId="69" fillId="0" borderId="17" xfId="11" applyNumberFormat="1" applyFont="1" applyBorder="1"/>
    <xf numFmtId="172" fontId="69" fillId="0" borderId="72" xfId="11" applyNumberFormat="1" applyFont="1" applyBorder="1"/>
    <xf numFmtId="172" fontId="69" fillId="0" borderId="87" xfId="11" applyNumberFormat="1" applyFont="1" applyBorder="1"/>
    <xf numFmtId="172" fontId="69" fillId="0" borderId="88" xfId="11" applyNumberFormat="1" applyFont="1" applyBorder="1"/>
    <xf numFmtId="172" fontId="69" fillId="0" borderId="26" xfId="11" applyNumberFormat="1" applyFont="1" applyBorder="1"/>
    <xf numFmtId="172" fontId="69" fillId="0" borderId="89" xfId="11" applyNumberFormat="1" applyFont="1" applyBorder="1"/>
    <xf numFmtId="164" fontId="69" fillId="0" borderId="89" xfId="11" applyNumberFormat="1" applyFont="1" applyBorder="1"/>
    <xf numFmtId="172" fontId="69" fillId="0" borderId="36" xfId="11" applyNumberFormat="1" applyFont="1" applyBorder="1"/>
    <xf numFmtId="172" fontId="69" fillId="0" borderId="0" xfId="11" applyNumberFormat="1" applyFont="1" applyFill="1" applyBorder="1" applyAlignment="1">
      <alignment horizontal="center" vertical="center"/>
    </xf>
    <xf numFmtId="164" fontId="69" fillId="0" borderId="0" xfId="11" applyNumberFormat="1" applyFont="1" applyFill="1" applyBorder="1" applyAlignment="1">
      <alignment horizontal="center" vertical="center"/>
    </xf>
    <xf numFmtId="165" fontId="69" fillId="0" borderId="0" xfId="9" applyNumberFormat="1" applyFont="1" applyFill="1" applyBorder="1"/>
    <xf numFmtId="1" fontId="0" fillId="0" borderId="0" xfId="0" applyNumberFormat="1" applyFill="1" applyBorder="1"/>
    <xf numFmtId="172" fontId="31" fillId="0" borderId="0" xfId="0" applyNumberFormat="1" applyFont="1" applyFill="1" applyBorder="1"/>
    <xf numFmtId="172" fontId="0" fillId="0" borderId="0" xfId="0" applyNumberFormat="1" applyFill="1" applyBorder="1"/>
    <xf numFmtId="169" fontId="0" fillId="0" borderId="0" xfId="0" applyNumberFormat="1" applyFill="1" applyBorder="1" applyAlignment="1">
      <alignment horizontal="center"/>
    </xf>
    <xf numFmtId="169" fontId="31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0" fontId="12" fillId="0" borderId="0" xfId="49" applyFont="1" applyFill="1" applyBorder="1"/>
    <xf numFmtId="1" fontId="72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/>
    <xf numFmtId="169" fontId="0" fillId="0" borderId="0" xfId="0" applyNumberFormat="1" applyFill="1" applyBorder="1" applyAlignment="1">
      <alignment horizontal="center" vertical="center"/>
    </xf>
    <xf numFmtId="188" fontId="0" fillId="0" borderId="0" xfId="0" applyNumberFormat="1" applyFill="1" applyBorder="1"/>
    <xf numFmtId="188" fontId="31" fillId="0" borderId="0" xfId="0" applyNumberFormat="1" applyFont="1" applyFill="1" applyBorder="1"/>
    <xf numFmtId="172" fontId="69" fillId="0" borderId="90" xfId="11" applyNumberFormat="1" applyFont="1" applyBorder="1"/>
    <xf numFmtId="164" fontId="69" fillId="0" borderId="3" xfId="11" applyNumberFormat="1" applyFont="1" applyBorder="1"/>
    <xf numFmtId="164" fontId="69" fillId="0" borderId="6" xfId="11" applyNumberFormat="1" applyFont="1" applyBorder="1" applyAlignment="1"/>
    <xf numFmtId="172" fontId="69" fillId="0" borderId="3" xfId="11" applyNumberFormat="1" applyFont="1" applyBorder="1"/>
    <xf numFmtId="172" fontId="69" fillId="0" borderId="14" xfId="11" applyNumberFormat="1" applyFont="1" applyBorder="1"/>
    <xf numFmtId="172" fontId="69" fillId="0" borderId="59" xfId="11" applyNumberFormat="1" applyFont="1" applyBorder="1"/>
    <xf numFmtId="172" fontId="69" fillId="0" borderId="91" xfId="11" applyNumberFormat="1" applyFont="1" applyBorder="1"/>
    <xf numFmtId="0" fontId="6" fillId="0" borderId="1" xfId="23" applyBorder="1"/>
    <xf numFmtId="172" fontId="69" fillId="0" borderId="83" xfId="11" applyNumberFormat="1" applyFont="1" applyBorder="1"/>
    <xf numFmtId="164" fontId="69" fillId="0" borderId="76" xfId="11" applyNumberFormat="1" applyFont="1" applyBorder="1"/>
    <xf numFmtId="164" fontId="69" fillId="0" borderId="56" xfId="11" applyNumberFormat="1" applyFont="1" applyBorder="1" applyAlignment="1"/>
    <xf numFmtId="172" fontId="69" fillId="0" borderId="76" xfId="11" applyNumberFormat="1" applyFont="1" applyBorder="1"/>
    <xf numFmtId="172" fontId="69" fillId="0" borderId="77" xfId="11" applyNumberFormat="1" applyFont="1" applyBorder="1"/>
    <xf numFmtId="172" fontId="69" fillId="0" borderId="0" xfId="11" applyNumberFormat="1" applyFont="1" applyBorder="1"/>
    <xf numFmtId="172" fontId="69" fillId="0" borderId="41" xfId="11" applyNumberFormat="1" applyFont="1" applyBorder="1"/>
    <xf numFmtId="172" fontId="69" fillId="0" borderId="92" xfId="11" applyNumberFormat="1" applyFont="1" applyBorder="1"/>
    <xf numFmtId="0" fontId="6" fillId="20" borderId="24" xfId="23" applyFill="1" applyBorder="1"/>
    <xf numFmtId="172" fontId="73" fillId="20" borderId="74" xfId="11" applyNumberFormat="1" applyFont="1" applyFill="1" applyBorder="1"/>
    <xf numFmtId="172" fontId="73" fillId="20" borderId="75" xfId="11" applyNumberFormat="1" applyFont="1" applyFill="1" applyBorder="1"/>
    <xf numFmtId="172" fontId="73" fillId="20" borderId="93" xfId="11" applyNumberFormat="1" applyFont="1" applyFill="1" applyBorder="1"/>
    <xf numFmtId="172" fontId="73" fillId="20" borderId="94" xfId="11" applyNumberFormat="1" applyFont="1" applyFill="1" applyBorder="1"/>
    <xf numFmtId="172" fontId="73" fillId="20" borderId="86" xfId="11" applyNumberFormat="1" applyFont="1" applyFill="1" applyBorder="1"/>
    <xf numFmtId="172" fontId="73" fillId="20" borderId="86" xfId="23" applyNumberFormat="1" applyFont="1" applyFill="1" applyBorder="1"/>
    <xf numFmtId="172" fontId="74" fillId="0" borderId="0" xfId="11" applyNumberFormat="1" applyFont="1" applyFill="1" applyBorder="1" applyAlignment="1">
      <alignment horizontal="center" vertical="center"/>
    </xf>
    <xf numFmtId="164" fontId="74" fillId="0" borderId="0" xfId="11" applyNumberFormat="1" applyFont="1" applyFill="1" applyBorder="1" applyAlignment="1">
      <alignment horizontal="center" vertical="center"/>
    </xf>
    <xf numFmtId="165" fontId="0" fillId="0" borderId="0" xfId="9" applyNumberFormat="1" applyFont="1" applyFill="1" applyBorder="1"/>
    <xf numFmtId="0" fontId="31" fillId="0" borderId="0" xfId="0" applyFont="1" applyFill="1" applyBorder="1"/>
    <xf numFmtId="0" fontId="6" fillId="0" borderId="4" xfId="23" applyBorder="1"/>
    <xf numFmtId="164" fontId="69" fillId="0" borderId="52" xfId="11" applyNumberFormat="1" applyFont="1" applyBorder="1"/>
    <xf numFmtId="172" fontId="69" fillId="0" borderId="13" xfId="11" applyNumberFormat="1" applyFont="1" applyBorder="1"/>
    <xf numFmtId="172" fontId="69" fillId="0" borderId="95" xfId="11" applyNumberFormat="1" applyFont="1" applyBorder="1"/>
    <xf numFmtId="164" fontId="69" fillId="0" borderId="6" xfId="11" applyNumberFormat="1" applyFont="1" applyBorder="1"/>
    <xf numFmtId="172" fontId="69" fillId="0" borderId="96" xfId="11" applyNumberFormat="1" applyFont="1" applyBorder="1"/>
    <xf numFmtId="164" fontId="69" fillId="0" borderId="56" xfId="11" applyNumberFormat="1" applyFont="1" applyBorder="1"/>
    <xf numFmtId="172" fontId="69" fillId="0" borderId="77" xfId="11" applyNumberFormat="1" applyFont="1" applyFill="1" applyBorder="1"/>
    <xf numFmtId="172" fontId="69" fillId="0" borderId="97" xfId="11" applyNumberFormat="1" applyFont="1" applyBorder="1"/>
    <xf numFmtId="164" fontId="69" fillId="0" borderId="36" xfId="11" applyNumberFormat="1" applyFont="1" applyBorder="1"/>
    <xf numFmtId="172" fontId="21" fillId="0" borderId="92" xfId="11" applyNumberFormat="1" applyFont="1" applyBorder="1"/>
    <xf numFmtId="172" fontId="69" fillId="20" borderId="79" xfId="11" applyNumberFormat="1" applyFont="1" applyFill="1" applyBorder="1"/>
    <xf numFmtId="172" fontId="73" fillId="20" borderId="80" xfId="11" applyNumberFormat="1" applyFont="1" applyFill="1" applyBorder="1"/>
    <xf numFmtId="172" fontId="73" fillId="20" borderId="50" xfId="11" applyNumberFormat="1" applyFont="1" applyFill="1" applyBorder="1"/>
    <xf numFmtId="172" fontId="73" fillId="20" borderId="79" xfId="11" applyNumberFormat="1" applyFont="1" applyFill="1" applyBorder="1"/>
    <xf numFmtId="172" fontId="73" fillId="20" borderId="81" xfId="11" applyNumberFormat="1" applyFont="1" applyFill="1" applyBorder="1"/>
    <xf numFmtId="0" fontId="6" fillId="21" borderId="24" xfId="23" applyFill="1" applyBorder="1"/>
    <xf numFmtId="172" fontId="73" fillId="21" borderId="79" xfId="11" applyNumberFormat="1" applyFont="1" applyFill="1" applyBorder="1"/>
    <xf numFmtId="172" fontId="73" fillId="21" borderId="80" xfId="11" applyNumberFormat="1" applyFont="1" applyFill="1" applyBorder="1"/>
    <xf numFmtId="172" fontId="73" fillId="21" borderId="50" xfId="11" applyNumberFormat="1" applyFont="1" applyFill="1" applyBorder="1"/>
    <xf numFmtId="172" fontId="73" fillId="21" borderId="81" xfId="11" applyNumberFormat="1" applyFont="1" applyFill="1" applyBorder="1"/>
    <xf numFmtId="172" fontId="73" fillId="21" borderId="86" xfId="11" applyNumberFormat="1" applyFont="1" applyFill="1" applyBorder="1"/>
    <xf numFmtId="172" fontId="73" fillId="21" borderId="26" xfId="23" applyNumberFormat="1" applyFont="1" applyFill="1" applyBorder="1"/>
    <xf numFmtId="172" fontId="73" fillId="21" borderId="86" xfId="23" applyNumberFormat="1" applyFont="1" applyFill="1" applyBorder="1"/>
    <xf numFmtId="172" fontId="9" fillId="0" borderId="0" xfId="11" applyNumberFormat="1" applyFont="1" applyFill="1" applyBorder="1" applyAlignment="1">
      <alignment horizontal="center" vertical="center"/>
    </xf>
    <xf numFmtId="164" fontId="9" fillId="0" borderId="0" xfId="11" applyNumberFormat="1" applyFont="1" applyFill="1" applyBorder="1" applyAlignment="1">
      <alignment horizontal="center" vertical="center"/>
    </xf>
    <xf numFmtId="172" fontId="69" fillId="0" borderId="72" xfId="11" applyNumberFormat="1" applyFont="1" applyFill="1" applyBorder="1"/>
    <xf numFmtId="172" fontId="21" fillId="0" borderId="88" xfId="11" applyNumberFormat="1" applyFont="1" applyBorder="1"/>
    <xf numFmtId="164" fontId="69" fillId="0" borderId="91" xfId="11" applyNumberFormat="1" applyFont="1" applyBorder="1"/>
    <xf numFmtId="172" fontId="21" fillId="0" borderId="36" xfId="11" applyNumberFormat="1" applyFont="1" applyBorder="1"/>
    <xf numFmtId="172" fontId="16" fillId="20" borderId="79" xfId="11" applyNumberFormat="1" applyFont="1" applyFill="1" applyBorder="1"/>
    <xf numFmtId="172" fontId="16" fillId="20" borderId="80" xfId="11" applyNumberFormat="1" applyFont="1" applyFill="1" applyBorder="1"/>
    <xf numFmtId="172" fontId="16" fillId="20" borderId="50" xfId="11" applyNumberFormat="1" applyFont="1" applyFill="1" applyBorder="1"/>
    <xf numFmtId="172" fontId="16" fillId="20" borderId="81" xfId="11" applyNumberFormat="1" applyFont="1" applyFill="1" applyBorder="1"/>
    <xf numFmtId="172" fontId="16" fillId="20" borderId="86" xfId="11" applyNumberFormat="1" applyFont="1" applyFill="1" applyBorder="1"/>
    <xf numFmtId="172" fontId="16" fillId="20" borderId="86" xfId="23" applyNumberFormat="1" applyFont="1" applyFill="1" applyBorder="1"/>
    <xf numFmtId="172" fontId="12" fillId="0" borderId="0" xfId="11" applyNumberFormat="1" applyFont="1" applyFill="1" applyBorder="1" applyAlignment="1">
      <alignment horizontal="center" vertical="center"/>
    </xf>
    <xf numFmtId="164" fontId="12" fillId="0" borderId="0" xfId="11" applyNumberFormat="1" applyFont="1" applyFill="1" applyBorder="1" applyAlignment="1">
      <alignment horizontal="center" vertical="center"/>
    </xf>
    <xf numFmtId="0" fontId="6" fillId="22" borderId="4" xfId="23" applyFill="1" applyBorder="1"/>
    <xf numFmtId="172" fontId="20" fillId="22" borderId="74" xfId="11" applyNumberFormat="1" applyFont="1" applyFill="1" applyBorder="1"/>
    <xf numFmtId="172" fontId="20" fillId="22" borderId="75" xfId="11" applyNumberFormat="1" applyFont="1" applyFill="1" applyBorder="1"/>
    <xf numFmtId="172" fontId="20" fillId="22" borderId="93" xfId="11" applyNumberFormat="1" applyFont="1" applyFill="1" applyBorder="1"/>
    <xf numFmtId="172" fontId="20" fillId="22" borderId="94" xfId="11" applyNumberFormat="1" applyFont="1" applyFill="1" applyBorder="1"/>
    <xf numFmtId="172" fontId="20" fillId="22" borderId="41" xfId="11" applyNumberFormat="1" applyFont="1" applyFill="1" applyBorder="1"/>
    <xf numFmtId="164" fontId="20" fillId="22" borderId="41" xfId="11" applyNumberFormat="1" applyFont="1" applyFill="1" applyBorder="1"/>
    <xf numFmtId="172" fontId="20" fillId="22" borderId="41" xfId="23" applyNumberFormat="1" applyFont="1" applyFill="1" applyBorder="1"/>
    <xf numFmtId="189" fontId="0" fillId="0" borderId="0" xfId="1" applyNumberFormat="1" applyFont="1" applyFill="1" applyBorder="1"/>
    <xf numFmtId="2" fontId="0" fillId="0" borderId="0" xfId="0" applyNumberFormat="1" applyFill="1" applyBorder="1"/>
    <xf numFmtId="169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185" fontId="0" fillId="0" borderId="0" xfId="0" applyNumberFormat="1"/>
    <xf numFmtId="0" fontId="0" fillId="4" borderId="0" xfId="0" applyFill="1"/>
    <xf numFmtId="17" fontId="0" fillId="4" borderId="3" xfId="0" applyNumberFormat="1" applyFont="1" applyFill="1" applyBorder="1"/>
    <xf numFmtId="164" fontId="42" fillId="4" borderId="3" xfId="11" applyFont="1" applyFill="1" applyBorder="1" applyAlignment="1">
      <alignment horizontal="center" vertical="center"/>
    </xf>
    <xf numFmtId="0" fontId="51" fillId="4" borderId="4" xfId="39" applyFont="1" applyFill="1" applyBorder="1" applyAlignment="1">
      <alignment horizontal="center" vertical="center" wrapText="1"/>
    </xf>
    <xf numFmtId="4" fontId="51" fillId="4" borderId="17" xfId="0" applyNumberFormat="1" applyFont="1" applyFill="1" applyBorder="1" applyAlignment="1">
      <alignment horizontal="center" vertical="center" wrapText="1"/>
    </xf>
    <xf numFmtId="43" fontId="50" fillId="4" borderId="0" xfId="0" applyNumberFormat="1" applyFont="1" applyFill="1"/>
    <xf numFmtId="0" fontId="50" fillId="4" borderId="0" xfId="0" applyFont="1" applyFill="1"/>
    <xf numFmtId="164" fontId="51" fillId="4" borderId="17" xfId="0" applyNumberFormat="1" applyFont="1" applyFill="1" applyBorder="1" applyAlignment="1">
      <alignment horizontal="center" vertical="center" wrapText="1"/>
    </xf>
    <xf numFmtId="0" fontId="51" fillId="4" borderId="18" xfId="0" applyFont="1" applyFill="1" applyBorder="1" applyAlignment="1">
      <alignment horizontal="center" vertical="center" wrapText="1"/>
    </xf>
    <xf numFmtId="164" fontId="50" fillId="4" borderId="3" xfId="11" applyFont="1" applyFill="1" applyBorder="1" applyAlignment="1">
      <alignment horizontal="center" vertical="center"/>
    </xf>
    <xf numFmtId="164" fontId="50" fillId="4" borderId="0" xfId="0" applyNumberFormat="1" applyFont="1" applyFill="1"/>
    <xf numFmtId="0" fontId="51" fillId="4" borderId="18" xfId="39" applyFont="1" applyFill="1" applyBorder="1" applyAlignment="1">
      <alignment horizontal="center" vertical="center" wrapText="1"/>
    </xf>
    <xf numFmtId="0" fontId="51" fillId="4" borderId="4" xfId="0" applyFont="1" applyFill="1" applyBorder="1" applyAlignment="1">
      <alignment horizontal="center" vertical="center" wrapText="1"/>
    </xf>
    <xf numFmtId="164" fontId="9" fillId="4" borderId="3" xfId="11" applyFont="1" applyFill="1" applyBorder="1" applyAlignment="1">
      <alignment horizontal="center" vertical="center"/>
    </xf>
    <xf numFmtId="175" fontId="52" fillId="4" borderId="3" xfId="11" applyNumberFormat="1" applyFont="1" applyFill="1" applyBorder="1" applyAlignment="1">
      <alignment horizontal="center" vertical="center"/>
    </xf>
    <xf numFmtId="175" fontId="53" fillId="4" borderId="3" xfId="11" applyNumberFormat="1" applyFont="1" applyFill="1" applyBorder="1" applyAlignment="1">
      <alignment horizontal="center" vertical="center"/>
    </xf>
    <xf numFmtId="176" fontId="50" fillId="4" borderId="0" xfId="0" applyNumberFormat="1" applyFont="1" applyFill="1"/>
    <xf numFmtId="164" fontId="0" fillId="4" borderId="0" xfId="11" applyFont="1" applyFill="1"/>
    <xf numFmtId="4" fontId="50" fillId="4" borderId="0" xfId="0" applyNumberFormat="1" applyFont="1" applyFill="1"/>
    <xf numFmtId="164" fontId="9" fillId="4" borderId="3" xfId="27" applyFont="1" applyFill="1" applyBorder="1" applyAlignment="1">
      <alignment horizontal="right"/>
    </xf>
    <xf numFmtId="177" fontId="0" fillId="4" borderId="0" xfId="11" applyNumberFormat="1" applyFont="1" applyFill="1"/>
    <xf numFmtId="164" fontId="9" fillId="4" borderId="3" xfId="11" applyFont="1" applyFill="1" applyBorder="1" applyAlignment="1">
      <alignment horizontal="right"/>
    </xf>
    <xf numFmtId="164" fontId="0" fillId="4" borderId="0" xfId="0" applyNumberFormat="1" applyFill="1"/>
    <xf numFmtId="178" fontId="0" fillId="4" borderId="0" xfId="0" applyNumberFormat="1" applyFill="1"/>
    <xf numFmtId="4" fontId="33" fillId="23" borderId="69" xfId="41" applyNumberFormat="1" applyFont="1" applyFill="1" applyBorder="1" applyAlignment="1">
      <alignment horizontal="center" vertical="center" wrapText="1"/>
    </xf>
    <xf numFmtId="4" fontId="33" fillId="23" borderId="64" xfId="41" applyNumberFormat="1" applyFont="1" applyFill="1" applyBorder="1" applyAlignment="1">
      <alignment horizontal="center" vertical="center" wrapText="1"/>
    </xf>
    <xf numFmtId="4" fontId="75" fillId="4" borderId="17" xfId="41" applyNumberFormat="1" applyFont="1" applyFill="1" applyBorder="1" applyAlignment="1">
      <alignment horizontal="center" vertical="center" wrapText="1"/>
    </xf>
    <xf numFmtId="4" fontId="75" fillId="4" borderId="51" xfId="41" applyNumberFormat="1" applyFont="1" applyFill="1" applyBorder="1" applyAlignment="1">
      <alignment horizontal="center" vertical="center" wrapText="1"/>
    </xf>
    <xf numFmtId="169" fontId="41" fillId="0" borderId="3" xfId="11" applyNumberFormat="1" applyFont="1" applyFill="1" applyBorder="1"/>
    <xf numFmtId="0" fontId="9" fillId="11" borderId="3" xfId="0" applyFont="1" applyFill="1" applyBorder="1"/>
    <xf numFmtId="0" fontId="77" fillId="0" borderId="0" xfId="0" applyFont="1" applyFill="1"/>
    <xf numFmtId="0" fontId="77" fillId="0" borderId="0" xfId="0" applyFont="1"/>
    <xf numFmtId="17" fontId="77" fillId="0" borderId="3" xfId="0" applyNumberFormat="1" applyFont="1" applyBorder="1"/>
    <xf numFmtId="0" fontId="9" fillId="11" borderId="3" xfId="11" applyNumberFormat="1" applyFont="1" applyFill="1" applyBorder="1"/>
    <xf numFmtId="0" fontId="9" fillId="11" borderId="3" xfId="27" applyNumberFormat="1" applyFont="1" applyFill="1" applyBorder="1"/>
    <xf numFmtId="164" fontId="9" fillId="11" borderId="3" xfId="27" applyNumberFormat="1" applyFont="1" applyFill="1" applyBorder="1"/>
    <xf numFmtId="0" fontId="77" fillId="0" borderId="0" xfId="0" applyFont="1" applyBorder="1"/>
    <xf numFmtId="0" fontId="33" fillId="0" borderId="0" xfId="41" applyFont="1"/>
    <xf numFmtId="164" fontId="33" fillId="0" borderId="0" xfId="1" applyFont="1"/>
    <xf numFmtId="0" fontId="33" fillId="0" borderId="3" xfId="41" applyFont="1" applyBorder="1" applyAlignment="1">
      <alignment horizontal="center"/>
    </xf>
    <xf numFmtId="164" fontId="33" fillId="0" borderId="3" xfId="1" applyFont="1" applyBorder="1" applyAlignment="1">
      <alignment horizontal="center"/>
    </xf>
    <xf numFmtId="0" fontId="75" fillId="0" borderId="0" xfId="41" applyFont="1"/>
    <xf numFmtId="0" fontId="33" fillId="0" borderId="3" xfId="41" applyFont="1" applyBorder="1"/>
    <xf numFmtId="164" fontId="33" fillId="0" borderId="3" xfId="1" applyFont="1" applyBorder="1"/>
    <xf numFmtId="0" fontId="33" fillId="0" borderId="0" xfId="41" applyFont="1" applyBorder="1"/>
    <xf numFmtId="164" fontId="33" fillId="0" borderId="0" xfId="1" applyFont="1" applyBorder="1"/>
    <xf numFmtId="0" fontId="33" fillId="0" borderId="0" xfId="41" applyFont="1" applyFill="1" applyBorder="1"/>
    <xf numFmtId="0" fontId="39" fillId="0" borderId="3" xfId="41" applyFont="1" applyBorder="1" applyAlignment="1">
      <alignment horizontal="center"/>
    </xf>
    <xf numFmtId="164" fontId="39" fillId="0" borderId="3" xfId="1" applyFont="1" applyBorder="1" applyAlignment="1">
      <alignment horizontal="center"/>
    </xf>
    <xf numFmtId="0" fontId="39" fillId="0" borderId="0" xfId="41" applyFont="1" applyFill="1" applyBorder="1" applyAlignment="1">
      <alignment horizontal="center"/>
    </xf>
    <xf numFmtId="0" fontId="39" fillId="0" borderId="0" xfId="41" applyFont="1" applyBorder="1" applyAlignment="1"/>
    <xf numFmtId="0" fontId="33" fillId="0" borderId="0" xfId="41" applyFont="1" applyBorder="1" applyAlignment="1"/>
    <xf numFmtId="0" fontId="39" fillId="0" borderId="3" xfId="41" applyFont="1" applyFill="1" applyBorder="1"/>
    <xf numFmtId="164" fontId="12" fillId="4" borderId="3" xfId="1" applyFont="1" applyFill="1" applyBorder="1" applyAlignment="1" applyProtection="1">
      <alignment horizontal="center" vertical="center" wrapText="1"/>
      <protection hidden="1"/>
    </xf>
    <xf numFmtId="0" fontId="33" fillId="0" borderId="3" xfId="41" applyFont="1" applyFill="1" applyBorder="1"/>
    <xf numFmtId="179" fontId="75" fillId="0" borderId="0" xfId="41" applyNumberFormat="1" applyFont="1"/>
    <xf numFmtId="177" fontId="33" fillId="0" borderId="0" xfId="41" applyNumberFormat="1" applyFont="1"/>
    <xf numFmtId="164" fontId="33" fillId="0" borderId="0" xfId="41" applyNumberFormat="1" applyFont="1"/>
    <xf numFmtId="164" fontId="33" fillId="0" borderId="3" xfId="1" applyFont="1" applyFill="1" applyBorder="1"/>
    <xf numFmtId="173" fontId="33" fillId="0" borderId="0" xfId="41" applyNumberFormat="1" applyFont="1"/>
    <xf numFmtId="190" fontId="33" fillId="0" borderId="0" xfId="41" applyNumberFormat="1" applyFont="1"/>
    <xf numFmtId="0" fontId="37" fillId="0" borderId="24" xfId="41" applyFont="1" applyBorder="1"/>
    <xf numFmtId="0" fontId="78" fillId="0" borderId="58" xfId="41" applyFont="1" applyBorder="1"/>
    <xf numFmtId="164" fontId="79" fillId="4" borderId="71" xfId="1" applyFont="1" applyFill="1" applyBorder="1" applyAlignment="1" applyProtection="1">
      <alignment horizontal="center" vertical="center" wrapText="1"/>
      <protection hidden="1"/>
    </xf>
    <xf numFmtId="164" fontId="79" fillId="4" borderId="69" xfId="1" applyFont="1" applyFill="1" applyBorder="1" applyAlignment="1" applyProtection="1">
      <alignment horizontal="center" vertical="center" wrapText="1"/>
      <protection hidden="1"/>
    </xf>
    <xf numFmtId="164" fontId="79" fillId="4" borderId="70" xfId="1" applyFont="1" applyFill="1" applyBorder="1" applyAlignment="1" applyProtection="1">
      <alignment horizontal="center" vertical="center" wrapText="1"/>
      <protection hidden="1"/>
    </xf>
    <xf numFmtId="164" fontId="79" fillId="4" borderId="68" xfId="1" applyFont="1" applyFill="1" applyBorder="1" applyAlignment="1" applyProtection="1">
      <alignment horizontal="center" vertical="center" wrapText="1"/>
      <protection hidden="1"/>
    </xf>
    <xf numFmtId="0" fontId="79" fillId="4" borderId="69" xfId="43" applyFont="1" applyFill="1" applyBorder="1" applyAlignment="1" applyProtection="1">
      <alignment horizontal="center" vertical="center" wrapText="1"/>
      <protection hidden="1"/>
    </xf>
    <xf numFmtId="0" fontId="79" fillId="4" borderId="70" xfId="43" applyFont="1" applyFill="1" applyBorder="1" applyAlignment="1" applyProtection="1">
      <alignment horizontal="center" vertical="center" wrapText="1"/>
      <protection hidden="1"/>
    </xf>
    <xf numFmtId="0" fontId="79" fillId="4" borderId="71" xfId="43" applyFont="1" applyFill="1" applyBorder="1" applyAlignment="1" applyProtection="1">
      <alignment horizontal="center" vertical="center" wrapText="1"/>
      <protection hidden="1"/>
    </xf>
    <xf numFmtId="0" fontId="79" fillId="25" borderId="71" xfId="43" applyFont="1" applyFill="1" applyBorder="1" applyAlignment="1" applyProtection="1">
      <alignment horizontal="center" vertical="center" wrapText="1"/>
      <protection hidden="1"/>
    </xf>
    <xf numFmtId="0" fontId="79" fillId="25" borderId="70" xfId="43" applyFont="1" applyFill="1" applyBorder="1" applyAlignment="1" applyProtection="1">
      <alignment horizontal="center" vertical="center" wrapText="1"/>
      <protection hidden="1"/>
    </xf>
    <xf numFmtId="0" fontId="79" fillId="4" borderId="68" xfId="43" applyFont="1" applyFill="1" applyBorder="1" applyAlignment="1" applyProtection="1">
      <alignment horizontal="center" vertical="center" wrapText="1"/>
      <protection hidden="1"/>
    </xf>
    <xf numFmtId="0" fontId="79" fillId="4" borderId="85" xfId="43" applyFont="1" applyFill="1" applyBorder="1" applyAlignment="1" applyProtection="1">
      <alignment horizontal="center" vertical="center" wrapText="1"/>
      <protection hidden="1"/>
    </xf>
    <xf numFmtId="0" fontId="78" fillId="0" borderId="99" xfId="41" applyFont="1" applyBorder="1"/>
    <xf numFmtId="164" fontId="78" fillId="0" borderId="82" xfId="1" applyFont="1" applyBorder="1" applyAlignment="1">
      <alignment horizontal="center"/>
    </xf>
    <xf numFmtId="164" fontId="78" fillId="0" borderId="17" xfId="1" applyFont="1" applyBorder="1"/>
    <xf numFmtId="164" fontId="78" fillId="0" borderId="72" xfId="1" applyFont="1" applyBorder="1" applyAlignment="1">
      <alignment horizontal="center"/>
    </xf>
    <xf numFmtId="164" fontId="78" fillId="0" borderId="82" xfId="1" applyFont="1" applyBorder="1"/>
    <xf numFmtId="164" fontId="78" fillId="25" borderId="82" xfId="1" applyFont="1" applyFill="1" applyBorder="1"/>
    <xf numFmtId="164" fontId="78" fillId="25" borderId="72" xfId="1" applyFont="1" applyFill="1" applyBorder="1" applyAlignment="1">
      <alignment horizontal="center"/>
    </xf>
    <xf numFmtId="164" fontId="78" fillId="0" borderId="52" xfId="1" applyFont="1" applyBorder="1"/>
    <xf numFmtId="164" fontId="80" fillId="4" borderId="88" xfId="1" applyFont="1" applyFill="1" applyBorder="1" applyAlignment="1">
      <alignment vertical="center"/>
    </xf>
    <xf numFmtId="164" fontId="78" fillId="0" borderId="51" xfId="1" applyFont="1" applyBorder="1"/>
    <xf numFmtId="0" fontId="78" fillId="0" borderId="96" xfId="41" applyFont="1" applyBorder="1"/>
    <xf numFmtId="164" fontId="78" fillId="0" borderId="90" xfId="1" applyFont="1" applyBorder="1" applyAlignment="1">
      <alignment horizontal="center"/>
    </xf>
    <xf numFmtId="164" fontId="78" fillId="0" borderId="3" xfId="1" applyFont="1" applyBorder="1"/>
    <xf numFmtId="164" fontId="78" fillId="0" borderId="14" xfId="1" applyFont="1" applyBorder="1" applyAlignment="1">
      <alignment horizontal="center"/>
    </xf>
    <xf numFmtId="164" fontId="78" fillId="0" borderId="90" xfId="1" applyFont="1" applyBorder="1"/>
    <xf numFmtId="164" fontId="78" fillId="25" borderId="90" xfId="1" applyFont="1" applyFill="1" applyBorder="1"/>
    <xf numFmtId="164" fontId="78" fillId="25" borderId="14" xfId="1" applyFont="1" applyFill="1" applyBorder="1" applyAlignment="1">
      <alignment horizontal="center"/>
    </xf>
    <xf numFmtId="164" fontId="78" fillId="0" borderId="6" xfId="1" applyFont="1" applyBorder="1"/>
    <xf numFmtId="164" fontId="80" fillId="4" borderId="91" xfId="1" applyFont="1" applyFill="1" applyBorder="1" applyAlignment="1">
      <alignment vertical="center"/>
    </xf>
    <xf numFmtId="164" fontId="78" fillId="0" borderId="53" xfId="1" applyFont="1" applyBorder="1"/>
    <xf numFmtId="0" fontId="78" fillId="0" borderId="100" xfId="41" applyFont="1" applyBorder="1"/>
    <xf numFmtId="164" fontId="78" fillId="0" borderId="101" xfId="1" applyFont="1" applyBorder="1" applyAlignment="1">
      <alignment horizontal="center"/>
    </xf>
    <xf numFmtId="164" fontId="78" fillId="0" borderId="47" xfId="1" applyFont="1" applyBorder="1"/>
    <xf numFmtId="164" fontId="78" fillId="0" borderId="78" xfId="1" applyFont="1" applyBorder="1" applyAlignment="1">
      <alignment horizontal="center"/>
    </xf>
    <xf numFmtId="164" fontId="78" fillId="0" borderId="101" xfId="1" applyFont="1" applyBorder="1"/>
    <xf numFmtId="164" fontId="78" fillId="25" borderId="101" xfId="1" applyFont="1" applyFill="1" applyBorder="1"/>
    <xf numFmtId="164" fontId="78" fillId="25" borderId="78" xfId="1" applyFont="1" applyFill="1" applyBorder="1" applyAlignment="1">
      <alignment horizontal="center"/>
    </xf>
    <xf numFmtId="164" fontId="78" fillId="0" borderId="1" xfId="1" applyFont="1" applyBorder="1"/>
    <xf numFmtId="164" fontId="80" fillId="4" borderId="92" xfId="1" applyFont="1" applyFill="1" applyBorder="1" applyAlignment="1">
      <alignment vertical="center"/>
    </xf>
    <xf numFmtId="164" fontId="78" fillId="0" borderId="54" xfId="1" applyFont="1" applyBorder="1"/>
    <xf numFmtId="164" fontId="37" fillId="0" borderId="79" xfId="1" applyFont="1" applyBorder="1" applyAlignment="1">
      <alignment horizontal="center"/>
    </xf>
    <xf numFmtId="164" fontId="37" fillId="25" borderId="79" xfId="1" applyFont="1" applyFill="1" applyBorder="1" applyAlignment="1">
      <alignment horizontal="center"/>
    </xf>
    <xf numFmtId="164" fontId="37" fillId="0" borderId="24" xfId="1" applyFont="1" applyBorder="1" applyAlignment="1">
      <alignment horizontal="center"/>
    </xf>
    <xf numFmtId="164" fontId="80" fillId="4" borderId="86" xfId="1" applyFont="1" applyFill="1" applyBorder="1" applyAlignment="1">
      <alignment vertical="center"/>
    </xf>
    <xf numFmtId="164" fontId="37" fillId="0" borderId="25" xfId="1" applyFont="1" applyBorder="1"/>
    <xf numFmtId="0" fontId="78" fillId="0" borderId="95" xfId="41" applyFont="1" applyBorder="1"/>
    <xf numFmtId="164" fontId="80" fillId="4" borderId="89" xfId="1" applyFont="1" applyFill="1" applyBorder="1" applyAlignment="1">
      <alignment vertical="center"/>
    </xf>
    <xf numFmtId="164" fontId="78" fillId="0" borderId="102" xfId="1" applyFont="1" applyBorder="1"/>
    <xf numFmtId="0" fontId="78" fillId="0" borderId="103" xfId="41" applyFont="1" applyBorder="1"/>
    <xf numFmtId="164" fontId="78" fillId="0" borderId="83" xfId="1" applyFont="1" applyBorder="1" applyAlignment="1">
      <alignment horizontal="center"/>
    </xf>
    <xf numFmtId="164" fontId="78" fillId="0" borderId="76" xfId="1" applyFont="1" applyBorder="1"/>
    <xf numFmtId="164" fontId="78" fillId="0" borderId="77" xfId="1" applyFont="1" applyBorder="1" applyAlignment="1">
      <alignment horizontal="center"/>
    </xf>
    <xf numFmtId="164" fontId="78" fillId="0" borderId="83" xfId="1" applyFont="1" applyBorder="1"/>
    <xf numFmtId="164" fontId="78" fillId="25" borderId="83" xfId="1" applyFont="1" applyFill="1" applyBorder="1"/>
    <xf numFmtId="164" fontId="78" fillId="25" borderId="77" xfId="1" applyFont="1" applyFill="1" applyBorder="1" applyAlignment="1">
      <alignment horizontal="center"/>
    </xf>
    <xf numFmtId="164" fontId="78" fillId="0" borderId="56" xfId="1" applyFont="1" applyBorder="1"/>
    <xf numFmtId="164" fontId="37" fillId="0" borderId="74" xfId="1" applyFont="1" applyBorder="1" applyAlignment="1">
      <alignment horizontal="center"/>
    </xf>
    <xf numFmtId="164" fontId="37" fillId="0" borderId="86" xfId="1" applyFont="1" applyBorder="1" applyAlignment="1">
      <alignment horizontal="center"/>
    </xf>
    <xf numFmtId="164" fontId="37" fillId="25" borderId="74" xfId="1" applyFont="1" applyFill="1" applyBorder="1" applyAlignment="1">
      <alignment horizontal="center"/>
    </xf>
    <xf numFmtId="164" fontId="37" fillId="0" borderId="58" xfId="1" applyFont="1" applyBorder="1" applyAlignment="1">
      <alignment horizontal="center"/>
    </xf>
    <xf numFmtId="164" fontId="80" fillId="4" borderId="41" xfId="1" applyFont="1" applyFill="1" applyBorder="1" applyAlignment="1">
      <alignment vertical="center"/>
    </xf>
    <xf numFmtId="164" fontId="37" fillId="0" borderId="66" xfId="1" applyFont="1" applyBorder="1"/>
    <xf numFmtId="43" fontId="80" fillId="4" borderId="41" xfId="1" applyNumberFormat="1" applyFont="1" applyFill="1" applyBorder="1" applyAlignment="1">
      <alignment vertical="center"/>
    </xf>
    <xf numFmtId="164" fontId="39" fillId="0" borderId="0" xfId="1" applyFont="1"/>
    <xf numFmtId="4" fontId="33" fillId="0" borderId="0" xfId="41" applyNumberFormat="1" applyFont="1"/>
    <xf numFmtId="191" fontId="0" fillId="4" borderId="3" xfId="0" applyNumberFormat="1" applyFill="1" applyBorder="1"/>
    <xf numFmtId="187" fontId="0" fillId="0" borderId="0" xfId="0" applyNumberFormat="1"/>
    <xf numFmtId="172" fontId="77" fillId="11" borderId="3" xfId="1" applyNumberFormat="1" applyFont="1" applyFill="1" applyBorder="1"/>
    <xf numFmtId="173" fontId="77" fillId="11" borderId="3" xfId="1" applyNumberFormat="1" applyFont="1" applyFill="1" applyBorder="1"/>
    <xf numFmtId="172" fontId="9" fillId="11" borderId="3" xfId="1" applyNumberFormat="1" applyFont="1" applyFill="1" applyBorder="1"/>
    <xf numFmtId="0" fontId="33" fillId="0" borderId="3" xfId="41" applyFont="1" applyBorder="1" applyAlignment="1">
      <alignment wrapText="1"/>
    </xf>
    <xf numFmtId="4" fontId="33" fillId="0" borderId="3" xfId="41" applyNumberFormat="1" applyFont="1" applyBorder="1"/>
    <xf numFmtId="164" fontId="33" fillId="0" borderId="3" xfId="41" applyNumberFormat="1" applyFont="1" applyBorder="1"/>
    <xf numFmtId="0" fontId="186" fillId="0" borderId="0" xfId="41" applyFont="1" applyAlignment="1">
      <alignment wrapText="1"/>
    </xf>
    <xf numFmtId="166" fontId="78" fillId="11" borderId="90" xfId="9" applyFont="1" applyFill="1" applyBorder="1" applyAlignment="1">
      <alignment horizontal="center"/>
    </xf>
    <xf numFmtId="164" fontId="78" fillId="11" borderId="47" xfId="1" applyFont="1" applyFill="1" applyBorder="1"/>
    <xf numFmtId="0" fontId="33" fillId="11" borderId="0" xfId="14" applyFont="1" applyFill="1"/>
    <xf numFmtId="164" fontId="78" fillId="11" borderId="3" xfId="1" applyFont="1" applyFill="1" applyBorder="1"/>
    <xf numFmtId="0" fontId="78" fillId="0" borderId="95" xfId="14" applyFont="1" applyBorder="1"/>
    <xf numFmtId="166" fontId="37" fillId="11" borderId="79" xfId="9" applyFont="1" applyFill="1" applyBorder="1" applyAlignment="1">
      <alignment horizontal="center"/>
    </xf>
    <xf numFmtId="0" fontId="78" fillId="0" borderId="100" xfId="14" applyFont="1" applyBorder="1"/>
    <xf numFmtId="0" fontId="33" fillId="11" borderId="0" xfId="41" applyFont="1" applyFill="1"/>
    <xf numFmtId="0" fontId="78" fillId="0" borderId="96" xfId="14" applyFont="1" applyBorder="1"/>
    <xf numFmtId="164" fontId="33" fillId="0" borderId="0" xfId="14" applyNumberFormat="1" applyFont="1"/>
    <xf numFmtId="173" fontId="33" fillId="11" borderId="0" xfId="41" applyNumberFormat="1" applyFont="1" applyFill="1"/>
    <xf numFmtId="164" fontId="78" fillId="11" borderId="17" xfId="1" applyFont="1" applyFill="1" applyBorder="1"/>
    <xf numFmtId="166" fontId="33" fillId="11" borderId="0" xfId="9" applyFont="1" applyFill="1"/>
    <xf numFmtId="0" fontId="78" fillId="0" borderId="99" xfId="14" applyFont="1" applyBorder="1"/>
    <xf numFmtId="0" fontId="78" fillId="0" borderId="58" xfId="14" applyFont="1" applyBorder="1"/>
    <xf numFmtId="0" fontId="37" fillId="0" borderId="24" xfId="14" applyFont="1" applyBorder="1"/>
    <xf numFmtId="43" fontId="33" fillId="0" borderId="0" xfId="41" applyNumberFormat="1" applyFont="1"/>
    <xf numFmtId="164" fontId="33" fillId="11" borderId="3" xfId="1" applyFont="1" applyFill="1" applyBorder="1"/>
    <xf numFmtId="43" fontId="33" fillId="11" borderId="0" xfId="41" applyNumberFormat="1" applyFont="1" applyFill="1"/>
    <xf numFmtId="0" fontId="78" fillId="0" borderId="103" xfId="14" applyFont="1" applyBorder="1"/>
    <xf numFmtId="4" fontId="33" fillId="0" borderId="0" xfId="14" applyNumberFormat="1" applyFont="1"/>
    <xf numFmtId="164" fontId="78" fillId="11" borderId="90" xfId="1" applyFont="1" applyFill="1" applyBorder="1"/>
    <xf numFmtId="0" fontId="33" fillId="0" borderId="47" xfId="14" applyFont="1" applyBorder="1"/>
    <xf numFmtId="164" fontId="33" fillId="0" borderId="47" xfId="1" applyFont="1" applyBorder="1"/>
    <xf numFmtId="172" fontId="33" fillId="0" borderId="0" xfId="1" applyNumberFormat="1" applyFont="1"/>
    <xf numFmtId="0" fontId="33" fillId="0" borderId="3" xfId="14" applyFont="1" applyFill="1" applyBorder="1"/>
    <xf numFmtId="0" fontId="39" fillId="0" borderId="3" xfId="14" applyFont="1" applyFill="1" applyBorder="1"/>
    <xf numFmtId="0" fontId="39" fillId="0" borderId="3" xfId="14" applyFont="1" applyBorder="1" applyAlignment="1">
      <alignment horizontal="center"/>
    </xf>
    <xf numFmtId="0" fontId="33" fillId="0" borderId="0" xfId="14" applyFont="1" applyFill="1" applyBorder="1"/>
    <xf numFmtId="0" fontId="33" fillId="0" borderId="3" xfId="14" applyFont="1" applyBorder="1"/>
    <xf numFmtId="0" fontId="75" fillId="0" borderId="0" xfId="14" applyFont="1"/>
    <xf numFmtId="0" fontId="33" fillId="0" borderId="3" xfId="14" applyFont="1" applyBorder="1" applyAlignment="1">
      <alignment horizontal="center"/>
    </xf>
    <xf numFmtId="0" fontId="33" fillId="0" borderId="0" xfId="14" applyFont="1"/>
    <xf numFmtId="164" fontId="37" fillId="11" borderId="79" xfId="1" applyFont="1" applyFill="1" applyBorder="1" applyAlignment="1">
      <alignment horizontal="center"/>
    </xf>
    <xf numFmtId="164" fontId="33" fillId="11" borderId="0" xfId="1" applyFont="1" applyFill="1"/>
    <xf numFmtId="0" fontId="0" fillId="11" borderId="0" xfId="0" applyFill="1"/>
    <xf numFmtId="0" fontId="41" fillId="11" borderId="0" xfId="0" applyFont="1" applyFill="1"/>
    <xf numFmtId="0" fontId="41" fillId="4" borderId="0" xfId="0" applyFont="1" applyFill="1"/>
    <xf numFmtId="164" fontId="32" fillId="11" borderId="3" xfId="1" applyFont="1" applyFill="1" applyBorder="1" applyAlignment="1">
      <alignment vertical="center"/>
    </xf>
    <xf numFmtId="43" fontId="33" fillId="11" borderId="3" xfId="41" applyNumberFormat="1" applyFont="1" applyFill="1" applyBorder="1"/>
    <xf numFmtId="172" fontId="33" fillId="11" borderId="0" xfId="1" applyNumberFormat="1" applyFont="1" applyFill="1"/>
    <xf numFmtId="172" fontId="37" fillId="11" borderId="79" xfId="1" applyNumberFormat="1" applyFont="1" applyFill="1" applyBorder="1" applyAlignment="1">
      <alignment horizontal="center"/>
    </xf>
    <xf numFmtId="172" fontId="78" fillId="11" borderId="90" xfId="1" applyNumberFormat="1" applyFont="1" applyFill="1" applyBorder="1"/>
    <xf numFmtId="172" fontId="41" fillId="0" borderId="0" xfId="1" applyNumberFormat="1" applyFont="1"/>
    <xf numFmtId="172" fontId="41" fillId="0" borderId="0" xfId="0" applyNumberFormat="1" applyFont="1"/>
    <xf numFmtId="164" fontId="0" fillId="17" borderId="3" xfId="27" applyFont="1" applyFill="1" applyBorder="1"/>
    <xf numFmtId="172" fontId="0" fillId="4" borderId="3" xfId="1" applyNumberFormat="1" applyFont="1" applyFill="1" applyBorder="1"/>
    <xf numFmtId="165" fontId="27" fillId="2" borderId="3" xfId="2" applyNumberFormat="1" applyFont="1" applyFill="1" applyBorder="1" applyAlignment="1">
      <alignment horizontal="center" vertical="center" wrapText="1"/>
    </xf>
    <xf numFmtId="165" fontId="27" fillId="2" borderId="5" xfId="2" applyNumberFormat="1" applyFont="1" applyFill="1" applyBorder="1" applyAlignment="1">
      <alignment horizontal="center" vertical="center" wrapText="1"/>
    </xf>
    <xf numFmtId="165" fontId="35" fillId="2" borderId="3" xfId="2" applyNumberFormat="1" applyFont="1" applyFill="1" applyBorder="1" applyAlignment="1">
      <alignment horizontal="center" vertical="center" wrapText="1"/>
    </xf>
    <xf numFmtId="43" fontId="34" fillId="0" borderId="0" xfId="0" applyNumberFormat="1" applyFont="1"/>
    <xf numFmtId="164" fontId="34" fillId="0" borderId="0" xfId="0" applyNumberFormat="1" applyFont="1"/>
    <xf numFmtId="43" fontId="28" fillId="0" borderId="0" xfId="0" applyNumberFormat="1" applyFont="1"/>
    <xf numFmtId="165" fontId="35" fillId="2" borderId="3" xfId="2" applyNumberFormat="1" applyFont="1" applyFill="1" applyBorder="1" applyAlignment="1">
      <alignment horizontal="center" vertical="center" wrapText="1"/>
    </xf>
    <xf numFmtId="234" fontId="134" fillId="0" borderId="0" xfId="2079"/>
    <xf numFmtId="168" fontId="188" fillId="0" borderId="68" xfId="2045" applyNumberFormat="1" applyFont="1" applyFill="1" applyBorder="1" applyAlignment="1">
      <alignment horizontal="center" vertical="center" wrapText="1"/>
    </xf>
    <xf numFmtId="0" fontId="189" fillId="0" borderId="0" xfId="2051" applyFont="1" applyFill="1" applyBorder="1" applyAlignment="1">
      <alignment horizontal="center"/>
    </xf>
    <xf numFmtId="0" fontId="188" fillId="0" borderId="86" xfId="2051" applyFont="1" applyFill="1" applyBorder="1" applyAlignment="1">
      <alignment horizontal="center" vertical="center"/>
    </xf>
    <xf numFmtId="0" fontId="188" fillId="0" borderId="24" xfId="2051" applyFont="1" applyFill="1" applyBorder="1" applyAlignment="1">
      <alignment horizontal="center" vertical="center"/>
    </xf>
    <xf numFmtId="0" fontId="192" fillId="0" borderId="88" xfId="2051" applyFont="1" applyFill="1" applyBorder="1" applyAlignment="1">
      <alignment horizontal="left" vertical="center" wrapText="1"/>
    </xf>
    <xf numFmtId="168" fontId="193" fillId="0" borderId="51" xfId="2051" applyNumberFormat="1" applyFont="1" applyFill="1" applyBorder="1" applyAlignment="1">
      <alignment horizontal="center" vertical="center" wrapText="1"/>
    </xf>
    <xf numFmtId="1" fontId="193" fillId="0" borderId="88" xfId="2051" applyNumberFormat="1" applyFont="1" applyFill="1" applyBorder="1" applyAlignment="1">
      <alignment horizontal="center" vertical="center" wrapText="1"/>
    </xf>
    <xf numFmtId="168" fontId="193" fillId="0" borderId="88" xfId="2051" applyNumberFormat="1" applyFont="1" applyFill="1" applyBorder="1" applyAlignment="1">
      <alignment horizontal="center" vertical="center" wrapText="1"/>
    </xf>
    <xf numFmtId="0" fontId="189" fillId="0" borderId="0" xfId="2045" applyFont="1" applyFill="1" applyBorder="1"/>
    <xf numFmtId="0" fontId="188" fillId="0" borderId="92" xfId="2045" applyFont="1" applyFill="1" applyBorder="1" applyAlignment="1">
      <alignment horizontal="left" vertical="center" wrapText="1" indent="1"/>
    </xf>
    <xf numFmtId="168" fontId="193" fillId="0" borderId="65" xfId="2045" applyNumberFormat="1" applyFont="1" applyFill="1" applyBorder="1" applyAlignment="1">
      <alignment horizontal="center" vertical="center" wrapText="1"/>
    </xf>
    <xf numFmtId="1" fontId="193" fillId="0" borderId="92" xfId="2045" applyNumberFormat="1" applyFont="1" applyFill="1" applyBorder="1" applyAlignment="1">
      <alignment horizontal="center" vertical="center" wrapText="1"/>
    </xf>
    <xf numFmtId="168" fontId="193" fillId="0" borderId="92" xfId="2045" applyNumberFormat="1" applyFont="1" applyFill="1" applyBorder="1" applyAlignment="1">
      <alignment horizontal="center" vertical="center" wrapText="1"/>
    </xf>
    <xf numFmtId="0" fontId="195" fillId="0" borderId="89" xfId="2045" applyFont="1" applyFill="1" applyBorder="1" applyAlignment="1">
      <alignment horizontal="left" vertical="center" wrapText="1"/>
    </xf>
    <xf numFmtId="1" fontId="196" fillId="0" borderId="89" xfId="2045" applyNumberFormat="1" applyFont="1" applyFill="1" applyBorder="1" applyAlignment="1">
      <alignment horizontal="center" vertical="center" wrapText="1"/>
    </xf>
    <xf numFmtId="0" fontId="188" fillId="0" borderId="36" xfId="2045" applyFont="1" applyFill="1" applyBorder="1" applyAlignment="1">
      <alignment horizontal="left" vertical="center" wrapText="1" indent="1"/>
    </xf>
    <xf numFmtId="0" fontId="195" fillId="0" borderId="41" xfId="2045" applyFont="1" applyFill="1" applyBorder="1" applyAlignment="1">
      <alignment horizontal="left" vertical="center" wrapText="1"/>
    </xf>
    <xf numFmtId="1" fontId="196" fillId="0" borderId="41" xfId="2045" applyNumberFormat="1" applyFont="1" applyFill="1" applyBorder="1" applyAlignment="1">
      <alignment horizontal="center" vertical="center" wrapText="1"/>
    </xf>
    <xf numFmtId="1" fontId="195" fillId="0" borderId="57" xfId="2045" applyNumberFormat="1" applyFont="1" applyFill="1" applyBorder="1" applyAlignment="1">
      <alignment horizontal="center" vertical="center" wrapText="1"/>
    </xf>
    <xf numFmtId="234" fontId="188" fillId="0" borderId="91" xfId="2079" applyFont="1" applyFill="1" applyBorder="1" applyAlignment="1">
      <alignment horizontal="left" vertical="center" wrapText="1" indent="1"/>
    </xf>
    <xf numFmtId="49" fontId="193" fillId="0" borderId="91" xfId="2045" applyNumberFormat="1" applyFont="1" applyFill="1" applyBorder="1" applyAlignment="1">
      <alignment horizontal="center" vertical="center" wrapText="1"/>
    </xf>
    <xf numFmtId="49" fontId="188" fillId="0" borderId="36" xfId="2045" applyNumberFormat="1" applyFont="1" applyFill="1" applyBorder="1" applyAlignment="1">
      <alignment horizontal="center" vertical="center" wrapText="1"/>
    </xf>
    <xf numFmtId="168" fontId="188" fillId="0" borderId="92" xfId="2045" applyNumberFormat="1" applyFont="1" applyFill="1" applyBorder="1" applyAlignment="1">
      <alignment horizontal="center" vertical="center" wrapText="1"/>
    </xf>
    <xf numFmtId="168" fontId="193" fillId="0" borderId="54" xfId="2051" applyNumberFormat="1" applyFont="1" applyFill="1" applyBorder="1" applyAlignment="1">
      <alignment horizontal="center" vertical="center" wrapText="1"/>
    </xf>
    <xf numFmtId="1" fontId="195" fillId="0" borderId="89" xfId="2045" applyNumberFormat="1" applyFont="1" applyFill="1" applyBorder="1" applyAlignment="1">
      <alignment horizontal="center" vertical="center" wrapText="1"/>
    </xf>
    <xf numFmtId="1" fontId="195" fillId="0" borderId="41" xfId="2045" applyNumberFormat="1" applyFont="1" applyFill="1" applyBorder="1" applyAlignment="1">
      <alignment horizontal="center" vertical="center" wrapText="1"/>
    </xf>
    <xf numFmtId="168" fontId="188" fillId="0" borderId="26" xfId="2045" applyNumberFormat="1" applyFont="1" applyFill="1" applyBorder="1" applyAlignment="1">
      <alignment horizontal="center" vertical="center" wrapText="1"/>
    </xf>
    <xf numFmtId="0" fontId="188" fillId="0" borderId="26" xfId="2045" applyFont="1" applyFill="1" applyBorder="1" applyAlignment="1">
      <alignment horizontal="left" vertical="center" wrapText="1"/>
    </xf>
    <xf numFmtId="168" fontId="195" fillId="0" borderId="41" xfId="2045" applyNumberFormat="1" applyFont="1" applyFill="1" applyBorder="1" applyAlignment="1">
      <alignment horizontal="center" vertical="center" wrapText="1"/>
    </xf>
    <xf numFmtId="1" fontId="188" fillId="0" borderId="26" xfId="2045" applyNumberFormat="1" applyFont="1" applyFill="1" applyBorder="1" applyAlignment="1">
      <alignment horizontal="center" vertical="center" wrapText="1"/>
    </xf>
    <xf numFmtId="49" fontId="195" fillId="0" borderId="41" xfId="2045" applyNumberFormat="1" applyFont="1" applyFill="1" applyBorder="1" applyAlignment="1">
      <alignment horizontal="center" vertical="center" wrapText="1"/>
    </xf>
    <xf numFmtId="0" fontId="188" fillId="0" borderId="67" xfId="2051" applyFont="1" applyFill="1" applyBorder="1" applyAlignment="1">
      <alignment horizontal="center" vertical="center"/>
    </xf>
    <xf numFmtId="0" fontId="188" fillId="0" borderId="26" xfId="2051" applyFont="1" applyFill="1" applyBorder="1" applyAlignment="1">
      <alignment horizontal="center" vertical="center" wrapText="1"/>
    </xf>
    <xf numFmtId="0" fontId="188" fillId="0" borderId="26" xfId="2051" applyFont="1" applyFill="1" applyBorder="1" applyAlignment="1">
      <alignment horizontal="center" vertical="center"/>
    </xf>
    <xf numFmtId="49" fontId="193" fillId="0" borderId="53" xfId="2045" applyNumberFormat="1" applyFont="1" applyFill="1" applyBorder="1" applyAlignment="1">
      <alignment horizontal="center" vertical="center" wrapText="1"/>
    </xf>
    <xf numFmtId="168" fontId="188" fillId="0" borderId="65" xfId="2045" applyNumberFormat="1" applyFont="1" applyFill="1" applyBorder="1" applyAlignment="1">
      <alignment horizontal="center" vertical="center" wrapText="1"/>
    </xf>
    <xf numFmtId="168" fontId="193" fillId="0" borderId="54" xfId="2045" applyNumberFormat="1" applyFont="1" applyFill="1" applyBorder="1" applyAlignment="1">
      <alignment horizontal="center" vertical="center" wrapText="1"/>
    </xf>
    <xf numFmtId="1" fontId="196" fillId="0" borderId="5" xfId="2045" applyNumberFormat="1" applyFont="1" applyFill="1" applyBorder="1" applyAlignment="1">
      <alignment horizontal="center" vertical="center" wrapText="1"/>
    </xf>
    <xf numFmtId="0" fontId="206" fillId="0" borderId="0" xfId="0" applyFont="1"/>
    <xf numFmtId="165" fontId="35" fillId="72" borderId="3" xfId="2" applyNumberFormat="1" applyFont="1" applyFill="1" applyBorder="1" applyAlignment="1">
      <alignment horizontal="center" vertical="center"/>
    </xf>
    <xf numFmtId="164" fontId="35" fillId="72" borderId="3" xfId="1" applyFont="1" applyFill="1" applyBorder="1" applyAlignment="1">
      <alignment horizontal="center" vertical="center"/>
    </xf>
    <xf numFmtId="165" fontId="35" fillId="71" borderId="3" xfId="2" applyNumberFormat="1" applyFont="1" applyFill="1" applyBorder="1" applyAlignment="1">
      <alignment horizontal="center" vertical="center"/>
    </xf>
    <xf numFmtId="164" fontId="35" fillId="71" borderId="3" xfId="1" applyFont="1" applyFill="1" applyBorder="1" applyAlignment="1">
      <alignment horizontal="center" vertical="center"/>
    </xf>
    <xf numFmtId="165" fontId="35" fillId="5" borderId="3" xfId="2" applyNumberFormat="1" applyFont="1" applyFill="1" applyBorder="1" applyAlignment="1">
      <alignment horizontal="center" vertical="center"/>
    </xf>
    <xf numFmtId="164" fontId="35" fillId="5" borderId="3" xfId="1" applyFont="1" applyFill="1" applyBorder="1" applyAlignment="1">
      <alignment horizontal="center" vertical="center"/>
    </xf>
    <xf numFmtId="164" fontId="36" fillId="5" borderId="3" xfId="1" applyFont="1" applyFill="1" applyBorder="1" applyAlignment="1">
      <alignment horizontal="center" vertical="center"/>
    </xf>
    <xf numFmtId="164" fontId="36" fillId="72" borderId="3" xfId="1" applyFont="1" applyFill="1" applyBorder="1" applyAlignment="1">
      <alignment horizontal="center" vertical="center"/>
    </xf>
    <xf numFmtId="164" fontId="36" fillId="71" borderId="3" xfId="1" applyFont="1" applyFill="1" applyBorder="1" applyAlignment="1">
      <alignment horizontal="center" vertical="center"/>
    </xf>
    <xf numFmtId="0" fontId="31" fillId="71" borderId="67" xfId="0" applyFont="1" applyFill="1" applyBorder="1"/>
    <xf numFmtId="0" fontId="31" fillId="71" borderId="61" xfId="0" applyFont="1" applyFill="1" applyBorder="1"/>
    <xf numFmtId="0" fontId="31" fillId="71" borderId="64" xfId="0" applyFont="1" applyFill="1" applyBorder="1"/>
    <xf numFmtId="0" fontId="35" fillId="3" borderId="14" xfId="0" applyFont="1" applyFill="1" applyBorder="1" applyAlignment="1">
      <alignment horizontal="center" vertical="center" wrapText="1"/>
    </xf>
    <xf numFmtId="0" fontId="35" fillId="71" borderId="96" xfId="0" applyFont="1" applyFill="1" applyBorder="1" applyAlignment="1">
      <alignment horizontal="left" vertical="center" wrapText="1" indent="1"/>
    </xf>
    <xf numFmtId="164" fontId="35" fillId="71" borderId="14" xfId="1" applyFont="1" applyFill="1" applyBorder="1" applyAlignment="1">
      <alignment horizontal="center" vertical="center"/>
    </xf>
    <xf numFmtId="0" fontId="35" fillId="71" borderId="103" xfId="0" applyFont="1" applyFill="1" applyBorder="1" applyAlignment="1">
      <alignment horizontal="left" vertical="center" wrapText="1" indent="1"/>
    </xf>
    <xf numFmtId="165" fontId="35" fillId="71" borderId="76" xfId="2" applyNumberFormat="1" applyFont="1" applyFill="1" applyBorder="1" applyAlignment="1">
      <alignment horizontal="center" vertical="center"/>
    </xf>
    <xf numFmtId="164" fontId="35" fillId="71" borderId="76" xfId="1" applyFont="1" applyFill="1" applyBorder="1" applyAlignment="1">
      <alignment horizontal="center" vertical="center"/>
    </xf>
    <xf numFmtId="164" fontId="35" fillId="71" borderId="77" xfId="1" applyFont="1" applyFill="1" applyBorder="1" applyAlignment="1">
      <alignment horizontal="center" vertical="center"/>
    </xf>
    <xf numFmtId="0" fontId="31" fillId="72" borderId="67" xfId="0" applyFont="1" applyFill="1" applyBorder="1"/>
    <xf numFmtId="0" fontId="31" fillId="72" borderId="61" xfId="0" applyFont="1" applyFill="1" applyBorder="1"/>
    <xf numFmtId="0" fontId="31" fillId="72" borderId="64" xfId="0" applyFont="1" applyFill="1" applyBorder="1"/>
    <xf numFmtId="0" fontId="35" fillId="72" borderId="96" xfId="0" applyFont="1" applyFill="1" applyBorder="1" applyAlignment="1">
      <alignment horizontal="left" vertical="center" wrapText="1" indent="1"/>
    </xf>
    <xf numFmtId="164" fontId="35" fillId="72" borderId="14" xfId="1" applyFont="1" applyFill="1" applyBorder="1" applyAlignment="1">
      <alignment horizontal="center" vertical="center"/>
    </xf>
    <xf numFmtId="0" fontId="35" fillId="72" borderId="103" xfId="0" applyFont="1" applyFill="1" applyBorder="1" applyAlignment="1">
      <alignment horizontal="left" vertical="center" wrapText="1" indent="1"/>
    </xf>
    <xf numFmtId="165" fontId="35" fillId="72" borderId="76" xfId="2" applyNumberFormat="1" applyFont="1" applyFill="1" applyBorder="1" applyAlignment="1">
      <alignment horizontal="center" vertical="center"/>
    </xf>
    <xf numFmtId="164" fontId="35" fillId="72" borderId="76" xfId="1" applyFont="1" applyFill="1" applyBorder="1" applyAlignment="1">
      <alignment horizontal="center" vertical="center"/>
    </xf>
    <xf numFmtId="164" fontId="35" fillId="72" borderId="77" xfId="1" applyFont="1" applyFill="1" applyBorder="1" applyAlignment="1">
      <alignment horizontal="center" vertical="center"/>
    </xf>
    <xf numFmtId="0" fontId="35" fillId="5" borderId="96" xfId="0" applyFont="1" applyFill="1" applyBorder="1" applyAlignment="1">
      <alignment horizontal="left" vertical="center" wrapText="1" indent="1"/>
    </xf>
    <xf numFmtId="164" fontId="35" fillId="5" borderId="14" xfId="1" applyFont="1" applyFill="1" applyBorder="1" applyAlignment="1">
      <alignment horizontal="center" vertical="center"/>
    </xf>
    <xf numFmtId="0" fontId="35" fillId="5" borderId="103" xfId="0" applyFont="1" applyFill="1" applyBorder="1" applyAlignment="1">
      <alignment horizontal="left" vertical="center" wrapText="1" indent="1"/>
    </xf>
    <xf numFmtId="165" fontId="35" fillId="5" borderId="76" xfId="2" applyNumberFormat="1" applyFont="1" applyFill="1" applyBorder="1" applyAlignment="1">
      <alignment horizontal="center" vertical="center"/>
    </xf>
    <xf numFmtId="164" fontId="35" fillId="5" borderId="76" xfId="1" applyFont="1" applyFill="1" applyBorder="1" applyAlignment="1">
      <alignment horizontal="center" vertical="center"/>
    </xf>
    <xf numFmtId="164" fontId="35" fillId="5" borderId="77" xfId="1" applyFont="1" applyFill="1" applyBorder="1" applyAlignment="1">
      <alignment horizontal="center" vertical="center"/>
    </xf>
    <xf numFmtId="0" fontId="205" fillId="5" borderId="67" xfId="0" applyFont="1" applyFill="1" applyBorder="1"/>
    <xf numFmtId="0" fontId="206" fillId="5" borderId="61" xfId="0" applyFont="1" applyFill="1" applyBorder="1"/>
    <xf numFmtId="0" fontId="206" fillId="5" borderId="64" xfId="0" applyFont="1" applyFill="1" applyBorder="1"/>
    <xf numFmtId="0" fontId="34" fillId="0" borderId="0" xfId="0" applyFont="1" applyFill="1"/>
    <xf numFmtId="165" fontId="35" fillId="2" borderId="3" xfId="2" applyNumberFormat="1" applyFont="1" applyFill="1" applyBorder="1" applyAlignment="1">
      <alignment horizontal="center" vertical="center" wrapText="1"/>
    </xf>
    <xf numFmtId="0" fontId="208" fillId="0" borderId="0" xfId="0" applyFont="1"/>
    <xf numFmtId="164" fontId="36" fillId="5" borderId="76" xfId="1" applyFont="1" applyFill="1" applyBorder="1" applyAlignment="1">
      <alignment horizontal="center" vertical="center"/>
    </xf>
    <xf numFmtId="164" fontId="36" fillId="5" borderId="14" xfId="1" applyFont="1" applyFill="1" applyBorder="1" applyAlignment="1">
      <alignment horizontal="center" vertical="center"/>
    </xf>
    <xf numFmtId="0" fontId="209" fillId="0" borderId="3" xfId="0" applyFont="1" applyBorder="1"/>
    <xf numFmtId="0" fontId="209" fillId="0" borderId="0" xfId="0" applyFont="1"/>
    <xf numFmtId="164" fontId="36" fillId="5" borderId="77" xfId="1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164" fontId="0" fillId="0" borderId="76" xfId="1" applyFont="1" applyBorder="1" applyAlignment="1">
      <alignment horizontal="center"/>
    </xf>
    <xf numFmtId="164" fontId="0" fillId="0" borderId="77" xfId="1" applyFont="1" applyBorder="1" applyAlignment="1">
      <alignment horizontal="center"/>
    </xf>
    <xf numFmtId="0" fontId="0" fillId="73" borderId="96" xfId="0" applyFill="1" applyBorder="1"/>
    <xf numFmtId="0" fontId="0" fillId="73" borderId="103" xfId="0" applyFill="1" applyBorder="1"/>
    <xf numFmtId="164" fontId="0" fillId="0" borderId="19" xfId="1" applyFont="1" applyBorder="1" applyAlignment="1">
      <alignment horizontal="center"/>
    </xf>
    <xf numFmtId="164" fontId="0" fillId="0" borderId="116" xfId="1" applyFont="1" applyBorder="1" applyAlignment="1">
      <alignment horizontal="center"/>
    </xf>
    <xf numFmtId="164" fontId="0" fillId="0" borderId="90" xfId="1" applyFont="1" applyBorder="1" applyAlignment="1">
      <alignment horizontal="center"/>
    </xf>
    <xf numFmtId="164" fontId="0" fillId="0" borderId="83" xfId="1" applyFont="1" applyBorder="1" applyAlignment="1">
      <alignment horizontal="center"/>
    </xf>
    <xf numFmtId="164" fontId="0" fillId="0" borderId="6" xfId="1" applyFont="1" applyBorder="1" applyAlignment="1">
      <alignment horizontal="center"/>
    </xf>
    <xf numFmtId="164" fontId="0" fillId="0" borderId="56" xfId="1" applyFont="1" applyBorder="1" applyAlignment="1">
      <alignment horizontal="center"/>
    </xf>
    <xf numFmtId="0" fontId="0" fillId="73" borderId="100" xfId="0" applyFill="1" applyBorder="1"/>
    <xf numFmtId="164" fontId="0" fillId="0" borderId="101" xfId="1" applyFont="1" applyBorder="1" applyAlignment="1">
      <alignment horizontal="center"/>
    </xf>
    <xf numFmtId="164" fontId="0" fillId="0" borderId="47" xfId="1" applyFont="1" applyBorder="1" applyAlignment="1">
      <alignment horizontal="center"/>
    </xf>
    <xf numFmtId="164" fontId="0" fillId="0" borderId="7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73" borderId="95" xfId="0" applyFill="1" applyBorder="1"/>
    <xf numFmtId="164" fontId="0" fillId="0" borderId="115" xfId="1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117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0" fontId="0" fillId="74" borderId="83" xfId="0" applyFill="1" applyBorder="1" applyAlignment="1">
      <alignment horizontal="center"/>
    </xf>
    <xf numFmtId="0" fontId="0" fillId="74" borderId="76" xfId="0" applyFill="1" applyBorder="1" applyAlignment="1">
      <alignment horizontal="center"/>
    </xf>
    <xf numFmtId="0" fontId="0" fillId="74" borderId="77" xfId="0" applyFill="1" applyBorder="1" applyAlignment="1">
      <alignment horizontal="center"/>
    </xf>
    <xf numFmtId="0" fontId="0" fillId="74" borderId="116" xfId="0" applyFill="1" applyBorder="1" applyAlignment="1">
      <alignment horizontal="center"/>
    </xf>
    <xf numFmtId="0" fontId="0" fillId="74" borderId="56" xfId="0" applyFill="1" applyBorder="1" applyAlignment="1">
      <alignment horizontal="center"/>
    </xf>
    <xf numFmtId="0" fontId="31" fillId="0" borderId="0" xfId="0" applyFont="1" applyAlignment="1">
      <alignment horizontal="left"/>
    </xf>
    <xf numFmtId="4" fontId="27" fillId="3" borderId="3" xfId="0" applyNumberFormat="1" applyFont="1" applyFill="1" applyBorder="1" applyAlignment="1">
      <alignment horizontal="center" vertical="center"/>
    </xf>
    <xf numFmtId="0" fontId="30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/>
    </xf>
    <xf numFmtId="17" fontId="27" fillId="2" borderId="3" xfId="2" applyNumberFormat="1" applyFont="1" applyFill="1" applyBorder="1" applyAlignment="1">
      <alignment horizontal="center" vertical="center" wrapText="1"/>
    </xf>
    <xf numFmtId="0" fontId="27" fillId="2" borderId="3" xfId="2" applyNumberFormat="1" applyFont="1" applyFill="1" applyBorder="1" applyAlignment="1">
      <alignment horizontal="center" vertical="center" wrapText="1"/>
    </xf>
    <xf numFmtId="165" fontId="27" fillId="2" borderId="1" xfId="2" applyNumberFormat="1" applyFont="1" applyFill="1" applyBorder="1" applyAlignment="1">
      <alignment horizontal="center" vertical="center" wrapText="1"/>
    </xf>
    <xf numFmtId="165" fontId="27" fillId="2" borderId="2" xfId="2" applyNumberFormat="1" applyFont="1" applyFill="1" applyBorder="1" applyAlignment="1">
      <alignment horizontal="center" vertical="center" wrapText="1"/>
    </xf>
    <xf numFmtId="165" fontId="27" fillId="2" borderId="4" xfId="2" applyNumberFormat="1" applyFont="1" applyFill="1" applyBorder="1" applyAlignment="1">
      <alignment horizontal="center" vertical="center" wrapText="1"/>
    </xf>
    <xf numFmtId="165" fontId="27" fillId="2" borderId="5" xfId="2" applyNumberFormat="1" applyFont="1" applyFill="1" applyBorder="1" applyAlignment="1">
      <alignment horizontal="center" vertical="center" wrapText="1"/>
    </xf>
    <xf numFmtId="17" fontId="27" fillId="2" borderId="1" xfId="2" applyNumberFormat="1" applyFont="1" applyFill="1" applyBorder="1" applyAlignment="1">
      <alignment horizontal="center" vertical="center" wrapText="1"/>
    </xf>
    <xf numFmtId="0" fontId="27" fillId="2" borderId="7" xfId="2" applyNumberFormat="1" applyFont="1" applyFill="1" applyBorder="1" applyAlignment="1">
      <alignment horizontal="center" vertical="center" wrapText="1"/>
    </xf>
    <xf numFmtId="0" fontId="27" fillId="2" borderId="2" xfId="2" applyNumberFormat="1" applyFont="1" applyFill="1" applyBorder="1" applyAlignment="1">
      <alignment horizontal="center" vertical="center" wrapText="1"/>
    </xf>
    <xf numFmtId="4" fontId="27" fillId="2" borderId="3" xfId="0" applyNumberFormat="1" applyFont="1" applyFill="1" applyBorder="1" applyAlignment="1">
      <alignment horizontal="center" vertical="center"/>
    </xf>
    <xf numFmtId="165" fontId="27" fillId="2" borderId="7" xfId="2" applyNumberFormat="1" applyFont="1" applyFill="1" applyBorder="1" applyAlignment="1">
      <alignment horizontal="center" vertical="center" wrapText="1"/>
    </xf>
    <xf numFmtId="0" fontId="27" fillId="3" borderId="3" xfId="0" applyNumberFormat="1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>
      <alignment horizontal="center" vertical="center"/>
    </xf>
    <xf numFmtId="165" fontId="35" fillId="2" borderId="1" xfId="2" applyNumberFormat="1" applyFont="1" applyFill="1" applyBorder="1" applyAlignment="1">
      <alignment horizontal="center" vertical="center" wrapText="1"/>
    </xf>
    <xf numFmtId="165" fontId="35" fillId="2" borderId="7" xfId="2" applyNumberFormat="1" applyFont="1" applyFill="1" applyBorder="1" applyAlignment="1">
      <alignment horizontal="center" vertical="center" wrapText="1"/>
    </xf>
    <xf numFmtId="165" fontId="35" fillId="2" borderId="2" xfId="2" applyNumberFormat="1" applyFont="1" applyFill="1" applyBorder="1" applyAlignment="1">
      <alignment horizontal="center" vertical="center" wrapText="1"/>
    </xf>
    <xf numFmtId="165" fontId="35" fillId="2" borderId="4" xfId="2" applyNumberFormat="1" applyFont="1" applyFill="1" applyBorder="1" applyAlignment="1">
      <alignment horizontal="center" vertical="center" wrapText="1"/>
    </xf>
    <xf numFmtId="165" fontId="35" fillId="2" borderId="5" xfId="2" applyNumberFormat="1" applyFont="1" applyFill="1" applyBorder="1" applyAlignment="1">
      <alignment horizontal="center" vertical="center" wrapText="1"/>
    </xf>
    <xf numFmtId="165" fontId="35" fillId="2" borderId="3" xfId="2" applyNumberFormat="1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wrapText="1"/>
    </xf>
    <xf numFmtId="0" fontId="34" fillId="0" borderId="13" xfId="0" applyFont="1" applyBorder="1" applyAlignment="1">
      <alignment horizontal="left"/>
    </xf>
    <xf numFmtId="167" fontId="35" fillId="2" borderId="3" xfId="2" applyNumberFormat="1" applyFont="1" applyFill="1" applyBorder="1" applyAlignment="1">
      <alignment horizontal="center" vertical="center" wrapText="1"/>
    </xf>
    <xf numFmtId="0" fontId="203" fillId="0" borderId="61" xfId="2045" applyFont="1" applyFill="1" applyBorder="1" applyAlignment="1">
      <alignment horizontal="left" vertical="center"/>
    </xf>
    <xf numFmtId="0" fontId="204" fillId="0" borderId="61" xfId="2045" applyFont="1" applyFill="1" applyBorder="1" applyAlignment="1">
      <alignment horizontal="left" vertical="center"/>
    </xf>
    <xf numFmtId="49" fontId="193" fillId="72" borderId="36" xfId="2045" applyNumberFormat="1" applyFont="1" applyFill="1" applyBorder="1" applyAlignment="1">
      <alignment horizontal="center" vertical="center" wrapText="1"/>
    </xf>
    <xf numFmtId="1" fontId="200" fillId="0" borderId="26" xfId="2045" applyNumberFormat="1" applyFont="1" applyFill="1" applyBorder="1" applyAlignment="1">
      <alignment horizontal="center" vertical="center" wrapText="1"/>
    </xf>
    <xf numFmtId="1" fontId="188" fillId="0" borderId="36" xfId="2045" applyNumberFormat="1" applyFont="1" applyFill="1" applyBorder="1" applyAlignment="1">
      <alignment horizontal="center" vertical="center" wrapText="1"/>
    </xf>
    <xf numFmtId="49" fontId="188" fillId="0" borderId="26" xfId="2045" applyNumberFormat="1" applyFont="1" applyFill="1" applyBorder="1" applyAlignment="1">
      <alignment horizontal="center" vertical="center" wrapText="1"/>
    </xf>
    <xf numFmtId="49" fontId="188" fillId="0" borderId="36" xfId="2045" applyNumberFormat="1" applyFont="1" applyFill="1" applyBorder="1" applyAlignment="1">
      <alignment horizontal="center" vertical="center" wrapText="1"/>
    </xf>
    <xf numFmtId="0" fontId="188" fillId="0" borderId="92" xfId="2045" applyFont="1" applyFill="1" applyBorder="1" applyAlignment="1">
      <alignment horizontal="left" vertical="center" wrapText="1" indent="1"/>
    </xf>
    <xf numFmtId="0" fontId="188" fillId="0" borderId="36" xfId="2045" applyFont="1" applyFill="1" applyBorder="1" applyAlignment="1">
      <alignment horizontal="left" vertical="center" wrapText="1" indent="1"/>
    </xf>
    <xf numFmtId="168" fontId="188" fillId="0" borderId="36" xfId="2045" applyNumberFormat="1" applyFont="1" applyFill="1" applyBorder="1" applyAlignment="1">
      <alignment horizontal="center" vertical="center" wrapText="1"/>
    </xf>
    <xf numFmtId="168" fontId="188" fillId="0" borderId="26" xfId="2045" applyNumberFormat="1" applyFont="1" applyFill="1" applyBorder="1" applyAlignment="1">
      <alignment horizontal="center" vertical="center" wrapText="1"/>
    </xf>
    <xf numFmtId="234" fontId="190" fillId="0" borderId="0" xfId="2079" applyFont="1" applyFill="1" applyBorder="1" applyAlignment="1">
      <alignment horizontal="center" vertical="center" wrapText="1"/>
    </xf>
    <xf numFmtId="234" fontId="190" fillId="0" borderId="16" xfId="2079" applyFont="1" applyFill="1" applyBorder="1" applyAlignment="1">
      <alignment horizontal="left" vertical="center" wrapText="1"/>
    </xf>
    <xf numFmtId="167" fontId="191" fillId="0" borderId="26" xfId="2051" applyNumberFormat="1" applyFont="1" applyFill="1" applyBorder="1" applyAlignment="1">
      <alignment horizontal="left" vertical="center" wrapText="1" indent="1"/>
    </xf>
    <xf numFmtId="167" fontId="191" fillId="0" borderId="36" xfId="2051" applyNumberFormat="1" applyFont="1" applyFill="1" applyBorder="1" applyAlignment="1">
      <alignment horizontal="left" vertical="center" wrapText="1" indent="1"/>
    </xf>
    <xf numFmtId="0" fontId="192" fillId="0" borderId="24" xfId="2051" applyFont="1" applyFill="1" applyBorder="1" applyAlignment="1">
      <alignment horizontal="center" vertical="center"/>
    </xf>
    <xf numFmtId="0" fontId="192" fillId="0" borderId="84" xfId="2051" applyFont="1" applyFill="1" applyBorder="1" applyAlignment="1">
      <alignment horizontal="center" vertical="center"/>
    </xf>
    <xf numFmtId="0" fontId="192" fillId="0" borderId="25" xfId="2051" applyFont="1" applyFill="1" applyBorder="1" applyAlignment="1">
      <alignment horizontal="center" vertical="center"/>
    </xf>
    <xf numFmtId="49" fontId="193" fillId="0" borderId="64" xfId="2045" applyNumberFormat="1" applyFont="1" applyFill="1" applyBorder="1" applyAlignment="1">
      <alignment horizontal="center" vertical="center" wrapText="1"/>
    </xf>
    <xf numFmtId="49" fontId="193" fillId="0" borderId="102" xfId="2045" applyNumberFormat="1" applyFont="1" applyFill="1" applyBorder="1" applyAlignment="1">
      <alignment horizontal="center" vertical="center" wrapText="1"/>
    </xf>
    <xf numFmtId="0" fontId="188" fillId="0" borderId="26" xfId="2045" applyFont="1" applyFill="1" applyBorder="1" applyAlignment="1">
      <alignment vertical="center" wrapText="1"/>
    </xf>
    <xf numFmtId="0" fontId="188" fillId="0" borderId="89" xfId="2045" applyFont="1" applyFill="1" applyBorder="1" applyAlignment="1">
      <alignment vertical="center" wrapText="1"/>
    </xf>
    <xf numFmtId="49" fontId="193" fillId="0" borderId="26" xfId="2045" applyNumberFormat="1" applyFont="1" applyFill="1" applyBorder="1" applyAlignment="1">
      <alignment horizontal="center" vertical="center" wrapText="1"/>
    </xf>
    <xf numFmtId="49" fontId="193" fillId="0" borderId="89" xfId="2045" applyNumberFormat="1" applyFont="1" applyFill="1" applyBorder="1" applyAlignment="1">
      <alignment horizontal="center" vertical="center" wrapText="1"/>
    </xf>
    <xf numFmtId="0" fontId="203" fillId="0" borderId="0" xfId="2045" applyFont="1" applyFill="1" applyBorder="1" applyAlignment="1">
      <alignment horizontal="left" vertical="center" wrapText="1"/>
    </xf>
    <xf numFmtId="0" fontId="204" fillId="0" borderId="0" xfId="2045" applyFont="1" applyFill="1" applyBorder="1" applyAlignment="1">
      <alignment horizontal="left" vertical="center" wrapText="1"/>
    </xf>
    <xf numFmtId="49" fontId="193" fillId="0" borderId="92" xfId="2045" applyNumberFormat="1" applyFont="1" applyFill="1" applyBorder="1" applyAlignment="1">
      <alignment horizontal="center" vertical="center" wrapText="1"/>
    </xf>
    <xf numFmtId="0" fontId="192" fillId="0" borderId="26" xfId="2045" applyFont="1" applyFill="1" applyBorder="1" applyAlignment="1">
      <alignment horizontal="left" vertical="center" wrapText="1"/>
    </xf>
    <xf numFmtId="0" fontId="192" fillId="0" borderId="36" xfId="2045" applyFont="1" applyFill="1" applyBorder="1" applyAlignment="1">
      <alignment horizontal="left" vertical="center" wrapText="1"/>
    </xf>
    <xf numFmtId="168" fontId="188" fillId="0" borderId="64" xfId="2045" applyNumberFormat="1" applyFont="1" applyFill="1" applyBorder="1" applyAlignment="1">
      <alignment horizontal="center" vertical="center" wrapText="1"/>
    </xf>
    <xf numFmtId="168" fontId="188" fillId="0" borderId="65" xfId="2045" applyNumberFormat="1" applyFont="1" applyFill="1" applyBorder="1" applyAlignment="1">
      <alignment horizontal="center" vertical="center" wrapText="1"/>
    </xf>
    <xf numFmtId="234" fontId="188" fillId="0" borderId="92" xfId="2079" applyFont="1" applyFill="1" applyBorder="1" applyAlignment="1">
      <alignment horizontal="left" vertical="center" wrapText="1" indent="1"/>
    </xf>
    <xf numFmtId="234" fontId="188" fillId="0" borderId="36" xfId="2079" applyFont="1" applyFill="1" applyBorder="1" applyAlignment="1">
      <alignment horizontal="left" vertical="center" wrapText="1" indent="1"/>
    </xf>
    <xf numFmtId="49" fontId="193" fillId="0" borderId="36" xfId="2045" applyNumberFormat="1" applyFont="1" applyFill="1" applyBorder="1" applyAlignment="1">
      <alignment horizontal="center" vertical="center" wrapText="1"/>
    </xf>
    <xf numFmtId="168" fontId="193" fillId="0" borderId="64" xfId="2045" applyNumberFormat="1" applyFont="1" applyFill="1" applyBorder="1" applyAlignment="1">
      <alignment horizontal="center" vertical="center" wrapText="1"/>
    </xf>
    <xf numFmtId="168" fontId="193" fillId="0" borderId="65" xfId="2045" applyNumberFormat="1" applyFont="1" applyFill="1" applyBorder="1" applyAlignment="1">
      <alignment horizontal="center" vertical="center" wrapText="1"/>
    </xf>
    <xf numFmtId="49" fontId="193" fillId="0" borderId="2" xfId="2045" applyNumberFormat="1" applyFont="1" applyFill="1" applyBorder="1" applyAlignment="1">
      <alignment horizontal="center" vertical="center" wrapText="1"/>
    </xf>
    <xf numFmtId="49" fontId="193" fillId="0" borderId="5" xfId="2045" applyNumberFormat="1" applyFont="1" applyFill="1" applyBorder="1" applyAlignment="1">
      <alignment horizontal="center" vertical="center" wrapText="1"/>
    </xf>
    <xf numFmtId="165" fontId="35" fillId="2" borderId="54" xfId="2" applyNumberFormat="1" applyFont="1" applyFill="1" applyBorder="1" applyAlignment="1">
      <alignment horizontal="center" vertical="center" wrapText="1"/>
    </xf>
    <xf numFmtId="165" fontId="35" fillId="2" borderId="100" xfId="2" applyNumberFormat="1" applyFont="1" applyFill="1" applyBorder="1" applyAlignment="1">
      <alignment horizontal="center" vertical="center" wrapText="1"/>
    </xf>
    <xf numFmtId="165" fontId="35" fillId="2" borderId="95" xfId="2" applyNumberFormat="1" applyFont="1" applyFill="1" applyBorder="1" applyAlignment="1">
      <alignment horizontal="center" vertical="center" wrapText="1"/>
    </xf>
    <xf numFmtId="165" fontId="35" fillId="2" borderId="14" xfId="2" applyNumberFormat="1" applyFont="1" applyFill="1" applyBorder="1" applyAlignment="1">
      <alignment horizontal="center" vertical="center" wrapText="1"/>
    </xf>
    <xf numFmtId="0" fontId="207" fillId="5" borderId="95" xfId="0" applyFont="1" applyFill="1" applyBorder="1" applyAlignment="1">
      <alignment horizontal="left" wrapText="1"/>
    </xf>
    <xf numFmtId="0" fontId="207" fillId="5" borderId="13" xfId="0" applyFont="1" applyFill="1" applyBorder="1" applyAlignment="1">
      <alignment horizontal="left"/>
    </xf>
    <xf numFmtId="0" fontId="207" fillId="5" borderId="102" xfId="0" applyFont="1" applyFill="1" applyBorder="1" applyAlignment="1">
      <alignment horizontal="left"/>
    </xf>
    <xf numFmtId="4" fontId="76" fillId="24" borderId="6" xfId="41" applyNumberFormat="1" applyFont="1" applyFill="1" applyBorder="1" applyAlignment="1">
      <alignment horizontal="center" vertical="center" wrapText="1"/>
    </xf>
    <xf numFmtId="4" fontId="76" fillId="24" borderId="59" xfId="41" applyNumberFormat="1" applyFont="1" applyFill="1" applyBorder="1" applyAlignment="1">
      <alignment horizontal="center" vertical="center" wrapText="1"/>
    </xf>
    <xf numFmtId="4" fontId="76" fillId="24" borderId="53" xfId="41" applyNumberFormat="1" applyFont="1" applyFill="1" applyBorder="1" applyAlignment="1">
      <alignment horizontal="center" vertical="center" wrapText="1"/>
    </xf>
    <xf numFmtId="4" fontId="33" fillId="4" borderId="98" xfId="41" applyNumberFormat="1" applyFont="1" applyFill="1" applyBorder="1" applyAlignment="1">
      <alignment horizontal="center" vertical="center" wrapText="1"/>
    </xf>
    <xf numFmtId="4" fontId="33" fillId="4" borderId="55" xfId="41" applyNumberFormat="1" applyFont="1" applyFill="1" applyBorder="1" applyAlignment="1">
      <alignment horizontal="center" vertical="center" wrapText="1"/>
    </xf>
    <xf numFmtId="165" fontId="35" fillId="2" borderId="6" xfId="2" applyNumberFormat="1" applyFont="1" applyFill="1" applyBorder="1" applyAlignment="1">
      <alignment horizontal="center" vertical="center" wrapText="1"/>
    </xf>
    <xf numFmtId="165" fontId="35" fillId="2" borderId="59" xfId="2" applyNumberFormat="1" applyFont="1" applyFill="1" applyBorder="1" applyAlignment="1">
      <alignment horizontal="center" vertical="center" wrapText="1"/>
    </xf>
    <xf numFmtId="165" fontId="35" fillId="2" borderId="19" xfId="2" applyNumberFormat="1" applyFont="1" applyFill="1" applyBorder="1" applyAlignment="1">
      <alignment horizontal="center" vertical="center" wrapText="1"/>
    </xf>
    <xf numFmtId="49" fontId="76" fillId="24" borderId="6" xfId="41" applyNumberFormat="1" applyFont="1" applyFill="1" applyBorder="1" applyAlignment="1">
      <alignment horizontal="center" vertical="center" wrapText="1"/>
    </xf>
    <xf numFmtId="49" fontId="76" fillId="24" borderId="19" xfId="41" applyNumberFormat="1" applyFont="1" applyFill="1" applyBorder="1" applyAlignment="1">
      <alignment horizontal="center" vertical="center" wrapText="1"/>
    </xf>
    <xf numFmtId="49" fontId="33" fillId="4" borderId="1" xfId="41" applyNumberFormat="1" applyFont="1" applyFill="1" applyBorder="1" applyAlignment="1">
      <alignment horizontal="center" vertical="center" wrapText="1"/>
    </xf>
    <xf numFmtId="49" fontId="33" fillId="4" borderId="2" xfId="41" applyNumberFormat="1" applyFont="1" applyFill="1" applyBorder="1" applyAlignment="1">
      <alignment horizontal="center" vertical="center" wrapText="1"/>
    </xf>
    <xf numFmtId="49" fontId="33" fillId="23" borderId="15" xfId="41" applyNumberFormat="1" applyFont="1" applyFill="1" applyBorder="1" applyAlignment="1">
      <alignment horizontal="center" vertical="center" wrapText="1"/>
    </xf>
    <xf numFmtId="49" fontId="33" fillId="23" borderId="60" xfId="41" applyNumberFormat="1" applyFont="1" applyFill="1" applyBorder="1" applyAlignment="1">
      <alignment horizontal="center" vertical="center" wrapText="1"/>
    </xf>
    <xf numFmtId="49" fontId="75" fillId="4" borderId="4" xfId="41" applyNumberFormat="1" applyFont="1" applyFill="1" applyBorder="1" applyAlignment="1">
      <alignment horizontal="center" vertical="center" wrapText="1"/>
    </xf>
    <xf numFmtId="49" fontId="75" fillId="4" borderId="5" xfId="41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wrapText="1"/>
    </xf>
    <xf numFmtId="0" fontId="0" fillId="4" borderId="3" xfId="0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4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7" fillId="0" borderId="4" xfId="0" applyFont="1" applyBorder="1" applyAlignment="1">
      <alignment horizontal="center" wrapText="1"/>
    </xf>
    <xf numFmtId="0" fontId="77" fillId="0" borderId="13" xfId="0" applyFont="1" applyBorder="1" applyAlignment="1">
      <alignment horizontal="center" wrapText="1"/>
    </xf>
    <xf numFmtId="0" fontId="77" fillId="0" borderId="5" xfId="0" applyFont="1" applyBorder="1" applyAlignment="1">
      <alignment horizontal="center" wrapText="1"/>
    </xf>
    <xf numFmtId="0" fontId="77" fillId="0" borderId="15" xfId="0" applyFont="1" applyBorder="1" applyAlignment="1">
      <alignment horizontal="center" wrapText="1"/>
    </xf>
    <xf numFmtId="0" fontId="77" fillId="0" borderId="0" xfId="0" applyFont="1" applyBorder="1" applyAlignment="1">
      <alignment horizontal="center" wrapText="1"/>
    </xf>
    <xf numFmtId="0" fontId="35" fillId="4" borderId="26" xfId="43" applyFont="1" applyFill="1" applyBorder="1" applyAlignment="1" applyProtection="1">
      <alignment horizontal="center" vertical="center" wrapText="1"/>
      <protection hidden="1"/>
    </xf>
    <xf numFmtId="0" fontId="35" fillId="4" borderId="41" xfId="43" applyFont="1" applyFill="1" applyBorder="1" applyAlignment="1" applyProtection="1">
      <alignment horizontal="center" vertical="center" wrapText="1"/>
      <protection hidden="1"/>
    </xf>
    <xf numFmtId="0" fontId="55" fillId="0" borderId="0" xfId="0" applyFont="1" applyFill="1" applyAlignment="1">
      <alignment horizontal="center" wrapText="1"/>
    </xf>
    <xf numFmtId="164" fontId="39" fillId="0" borderId="6" xfId="1" applyFont="1" applyBorder="1" applyAlignment="1">
      <alignment horizontal="center"/>
    </xf>
    <xf numFmtId="164" fontId="39" fillId="0" borderId="19" xfId="1" applyFont="1" applyBorder="1" applyAlignment="1">
      <alignment horizontal="center"/>
    </xf>
    <xf numFmtId="164" fontId="37" fillId="0" borderId="24" xfId="1" applyFont="1" applyBorder="1" applyAlignment="1">
      <alignment horizontal="center"/>
    </xf>
    <xf numFmtId="164" fontId="37" fillId="0" borderId="84" xfId="1" applyFont="1" applyBorder="1" applyAlignment="1">
      <alignment horizontal="center"/>
    </xf>
    <xf numFmtId="164" fontId="37" fillId="0" borderId="25" xfId="1" applyFont="1" applyBorder="1" applyAlignment="1">
      <alignment horizontal="center"/>
    </xf>
    <xf numFmtId="0" fontId="37" fillId="0" borderId="24" xfId="14" applyFont="1" applyBorder="1" applyAlignment="1">
      <alignment horizontal="center"/>
    </xf>
    <xf numFmtId="0" fontId="37" fillId="0" borderId="84" xfId="14" applyFont="1" applyBorder="1" applyAlignment="1">
      <alignment horizontal="center"/>
    </xf>
    <xf numFmtId="0" fontId="37" fillId="0" borderId="25" xfId="14" applyFont="1" applyBorder="1" applyAlignment="1">
      <alignment horizontal="center"/>
    </xf>
    <xf numFmtId="0" fontId="37" fillId="25" borderId="24" xfId="14" applyFont="1" applyFill="1" applyBorder="1" applyAlignment="1">
      <alignment horizontal="center"/>
    </xf>
    <xf numFmtId="0" fontId="37" fillId="25" borderId="25" xfId="14" applyFont="1" applyFill="1" applyBorder="1" applyAlignment="1">
      <alignment horizontal="center"/>
    </xf>
    <xf numFmtId="164" fontId="32" fillId="11" borderId="6" xfId="1" applyFont="1" applyFill="1" applyBorder="1" applyAlignment="1">
      <alignment horizontal="center" vertical="center" wrapText="1"/>
    </xf>
    <xf numFmtId="164" fontId="32" fillId="11" borderId="59" xfId="1" applyFont="1" applyFill="1" applyBorder="1" applyAlignment="1">
      <alignment horizontal="center" vertical="center" wrapText="1"/>
    </xf>
    <xf numFmtId="164" fontId="32" fillId="11" borderId="19" xfId="1" applyFont="1" applyFill="1" applyBorder="1" applyAlignment="1">
      <alignment horizontal="center" vertical="center" wrapText="1"/>
    </xf>
    <xf numFmtId="164" fontId="32" fillId="11" borderId="6" xfId="1" applyFont="1" applyFill="1" applyBorder="1" applyAlignment="1">
      <alignment horizontal="center" vertical="center"/>
    </xf>
    <xf numFmtId="164" fontId="32" fillId="11" borderId="59" xfId="1" applyFont="1" applyFill="1" applyBorder="1" applyAlignment="1">
      <alignment horizontal="center" vertical="center"/>
    </xf>
    <xf numFmtId="164" fontId="32" fillId="11" borderId="19" xfId="1" applyFont="1" applyFill="1" applyBorder="1" applyAlignment="1">
      <alignment horizontal="center" vertical="center"/>
    </xf>
    <xf numFmtId="2" fontId="59" fillId="0" borderId="0" xfId="44" applyNumberFormat="1" applyFont="1" applyAlignment="1">
      <alignment horizontal="center"/>
    </xf>
    <xf numFmtId="0" fontId="59" fillId="0" borderId="0" xfId="44" applyFont="1" applyAlignment="1">
      <alignment horizontal="center"/>
    </xf>
    <xf numFmtId="0" fontId="63" fillId="0" borderId="47" xfId="44" applyFont="1" applyBorder="1" applyAlignment="1">
      <alignment horizontal="center" vertical="center"/>
    </xf>
    <xf numFmtId="0" fontId="63" fillId="0" borderId="18" xfId="44" applyFont="1" applyBorder="1" applyAlignment="1">
      <alignment horizontal="center" vertical="center"/>
    </xf>
    <xf numFmtId="0" fontId="63" fillId="0" borderId="47" xfId="44" applyFont="1" applyFill="1" applyBorder="1" applyAlignment="1">
      <alignment horizontal="center" vertical="center" wrapText="1"/>
    </xf>
    <xf numFmtId="0" fontId="63" fillId="0" borderId="18" xfId="44" applyFont="1" applyFill="1" applyBorder="1" applyAlignment="1">
      <alignment horizontal="center" vertical="center" wrapText="1"/>
    </xf>
    <xf numFmtId="0" fontId="63" fillId="0" borderId="6" xfId="44" applyFont="1" applyFill="1" applyBorder="1" applyAlignment="1">
      <alignment horizontal="center" vertical="center" wrapText="1"/>
    </xf>
    <xf numFmtId="0" fontId="63" fillId="0" borderId="19" xfId="44" applyFont="1" applyFill="1" applyBorder="1" applyAlignment="1">
      <alignment horizontal="center" vertical="center" wrapText="1"/>
    </xf>
    <xf numFmtId="0" fontId="54" fillId="0" borderId="30" xfId="40" applyFont="1" applyBorder="1" applyAlignment="1">
      <alignment horizontal="center" vertical="center" wrapText="1"/>
    </xf>
    <xf numFmtId="0" fontId="54" fillId="0" borderId="37" xfId="40" applyFont="1" applyBorder="1" applyAlignment="1">
      <alignment horizontal="center" vertical="center" wrapText="1"/>
    </xf>
    <xf numFmtId="0" fontId="54" fillId="0" borderId="31" xfId="40" applyFont="1" applyFill="1" applyBorder="1" applyAlignment="1">
      <alignment horizontal="center" vertical="center" wrapText="1"/>
    </xf>
    <xf numFmtId="0" fontId="54" fillId="0" borderId="38" xfId="40" applyFont="1" applyFill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54" fillId="0" borderId="39" xfId="0" applyFont="1" applyBorder="1" applyAlignment="1">
      <alignment horizontal="center" vertical="center" wrapText="1"/>
    </xf>
    <xf numFmtId="0" fontId="54" fillId="0" borderId="32" xfId="40" applyFont="1" applyFill="1" applyBorder="1" applyAlignment="1">
      <alignment horizontal="center" vertical="center" wrapText="1"/>
    </xf>
    <xf numFmtId="0" fontId="54" fillId="0" borderId="39" xfId="40" applyFont="1" applyFill="1" applyBorder="1" applyAlignment="1">
      <alignment horizontal="center" vertical="center" wrapText="1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54" fillId="12" borderId="26" xfId="0" applyFont="1" applyFill="1" applyBorder="1" applyAlignment="1">
      <alignment horizontal="center" vertical="center"/>
    </xf>
    <xf numFmtId="0" fontId="54" fillId="12" borderId="36" xfId="0" applyFont="1" applyFill="1" applyBorder="1" applyAlignment="1">
      <alignment horizontal="center" vertical="center"/>
    </xf>
    <xf numFmtId="0" fontId="54" fillId="12" borderId="41" xfId="0" applyFont="1" applyFill="1" applyBorder="1" applyAlignment="1">
      <alignment horizontal="center" vertical="center"/>
    </xf>
    <xf numFmtId="0" fontId="54" fillId="0" borderId="27" xfId="0" applyFont="1" applyBorder="1" applyAlignment="1">
      <alignment horizontal="center"/>
    </xf>
    <xf numFmtId="0" fontId="54" fillId="0" borderId="28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33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 wrapText="1"/>
    </xf>
    <xf numFmtId="0" fontId="54" fillId="13" borderId="26" xfId="0" applyFont="1" applyFill="1" applyBorder="1" applyAlignment="1">
      <alignment horizontal="center" vertical="center" wrapText="1"/>
    </xf>
    <xf numFmtId="0" fontId="54" fillId="13" borderId="36" xfId="0" applyFont="1" applyFill="1" applyBorder="1" applyAlignment="1">
      <alignment horizontal="center" vertical="center" wrapText="1"/>
    </xf>
    <xf numFmtId="0" fontId="54" fillId="13" borderId="41" xfId="0" applyFont="1" applyFill="1" applyBorder="1" applyAlignment="1">
      <alignment horizontal="center" vertical="center" wrapText="1"/>
    </xf>
    <xf numFmtId="0" fontId="54" fillId="0" borderId="34" xfId="40" applyFont="1" applyBorder="1" applyAlignment="1">
      <alignment horizontal="center" vertical="center" wrapText="1"/>
    </xf>
    <xf numFmtId="0" fontId="54" fillId="0" borderId="31" xfId="40" applyFont="1" applyBorder="1" applyAlignment="1">
      <alignment horizontal="center" vertical="center" wrapText="1"/>
    </xf>
    <xf numFmtId="0" fontId="54" fillId="0" borderId="38" xfId="40" applyFont="1" applyBorder="1" applyAlignment="1">
      <alignment horizontal="center" vertical="center" wrapText="1"/>
    </xf>
    <xf numFmtId="0" fontId="54" fillId="0" borderId="35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right" wrapText="1"/>
    </xf>
    <xf numFmtId="0" fontId="54" fillId="0" borderId="3" xfId="0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54" fillId="0" borderId="3" xfId="0" applyFont="1" applyBorder="1" applyAlignment="1">
      <alignment horizontal="center" vertical="center"/>
    </xf>
    <xf numFmtId="179" fontId="54" fillId="0" borderId="3" xfId="0" applyNumberFormat="1" applyFont="1" applyBorder="1" applyAlignment="1">
      <alignment horizontal="center" vertical="center"/>
    </xf>
    <xf numFmtId="0" fontId="54" fillId="0" borderId="6" xfId="0" applyFont="1" applyBorder="1" applyAlignment="1">
      <alignment horizontal="right" wrapText="1"/>
    </xf>
    <xf numFmtId="0" fontId="54" fillId="0" borderId="19" xfId="0" applyFont="1" applyBorder="1" applyAlignment="1">
      <alignment horizontal="right" wrapText="1"/>
    </xf>
    <xf numFmtId="0" fontId="57" fillId="0" borderId="47" xfId="43" applyFont="1" applyFill="1" applyBorder="1" applyAlignment="1" applyProtection="1">
      <alignment horizontal="center" vertical="center" wrapText="1"/>
      <protection hidden="1"/>
    </xf>
    <xf numFmtId="0" fontId="57" fillId="0" borderId="18" xfId="43" applyFont="1" applyFill="1" applyBorder="1" applyAlignment="1" applyProtection="1">
      <alignment horizontal="center" vertical="center" wrapText="1"/>
      <protection hidden="1"/>
    </xf>
    <xf numFmtId="179" fontId="54" fillId="0" borderId="47" xfId="41" applyNumberFormat="1" applyFont="1" applyFill="1" applyBorder="1" applyAlignment="1">
      <alignment horizontal="center" vertical="center"/>
    </xf>
    <xf numFmtId="179" fontId="54" fillId="0" borderId="48" xfId="41" applyNumberFormat="1" applyFont="1" applyFill="1" applyBorder="1" applyAlignment="1">
      <alignment horizontal="center" vertical="center"/>
    </xf>
    <xf numFmtId="179" fontId="54" fillId="0" borderId="18" xfId="41" applyNumberFormat="1" applyFont="1" applyFill="1" applyBorder="1" applyAlignment="1">
      <alignment horizontal="center" vertical="center"/>
    </xf>
    <xf numFmtId="0" fontId="62" fillId="0" borderId="4" xfId="43" applyFont="1" applyFill="1" applyBorder="1" applyAlignment="1" applyProtection="1">
      <alignment horizontal="left" vertical="center" wrapText="1"/>
      <protection hidden="1"/>
    </xf>
    <xf numFmtId="0" fontId="62" fillId="0" borderId="13" xfId="43" applyFont="1" applyFill="1" applyBorder="1" applyAlignment="1" applyProtection="1">
      <alignment horizontal="left" vertical="center" wrapText="1"/>
      <protection hidden="1"/>
    </xf>
    <xf numFmtId="0" fontId="56" fillId="0" borderId="6" xfId="41" applyFont="1" applyFill="1" applyBorder="1" applyAlignment="1">
      <alignment horizontal="center" vertical="center" wrapText="1"/>
    </xf>
    <xf numFmtId="0" fontId="56" fillId="0" borderId="59" xfId="41" applyFont="1" applyFill="1" applyBorder="1" applyAlignment="1">
      <alignment horizontal="center" vertical="center" wrapText="1"/>
    </xf>
    <xf numFmtId="0" fontId="56" fillId="0" borderId="19" xfId="41" applyFont="1" applyFill="1" applyBorder="1" applyAlignment="1">
      <alignment horizontal="center" vertical="center" wrapText="1"/>
    </xf>
    <xf numFmtId="0" fontId="57" fillId="0" borderId="50" xfId="43" applyFont="1" applyFill="1" applyBorder="1" applyAlignment="1" applyProtection="1">
      <alignment horizontal="center" vertical="center" wrapText="1"/>
      <protection hidden="1"/>
    </xf>
    <xf numFmtId="0" fontId="57" fillId="0" borderId="49" xfId="43" applyFont="1" applyFill="1" applyBorder="1" applyAlignment="1" applyProtection="1">
      <alignment horizontal="center" vertical="center" wrapText="1"/>
      <protection hidden="1"/>
    </xf>
    <xf numFmtId="0" fontId="63" fillId="0" borderId="24" xfId="0" applyFont="1" applyFill="1" applyBorder="1" applyAlignment="1">
      <alignment horizontal="center" wrapText="1"/>
    </xf>
    <xf numFmtId="0" fontId="63" fillId="0" borderId="49" xfId="0" applyFont="1" applyFill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63" fillId="0" borderId="67" xfId="0" applyFont="1" applyBorder="1" applyAlignment="1">
      <alignment horizontal="center" wrapText="1"/>
    </xf>
    <xf numFmtId="0" fontId="63" fillId="0" borderId="68" xfId="0" applyFont="1" applyBorder="1" applyAlignment="1">
      <alignment horizontal="center" wrapText="1"/>
    </xf>
    <xf numFmtId="0" fontId="63" fillId="0" borderId="71" xfId="0" applyFont="1" applyBorder="1" applyAlignment="1">
      <alignment horizontal="center" textRotation="90" wrapText="1"/>
    </xf>
    <xf numFmtId="0" fontId="63" fillId="0" borderId="73" xfId="0" applyFont="1" applyBorder="1" applyAlignment="1">
      <alignment horizontal="center" textRotation="90" wrapText="1"/>
    </xf>
    <xf numFmtId="0" fontId="63" fillId="0" borderId="74" xfId="0" applyFont="1" applyBorder="1" applyAlignment="1">
      <alignment horizontal="center" textRotation="90" wrapText="1"/>
    </xf>
    <xf numFmtId="0" fontId="63" fillId="0" borderId="71" xfId="0" applyFont="1" applyBorder="1" applyAlignment="1">
      <alignment horizontal="center" textRotation="90"/>
    </xf>
    <xf numFmtId="0" fontId="63" fillId="0" borderId="73" xfId="0" applyFont="1" applyBorder="1" applyAlignment="1">
      <alignment horizontal="center" textRotation="90"/>
    </xf>
    <xf numFmtId="0" fontId="31" fillId="0" borderId="26" xfId="23" applyFont="1" applyBorder="1" applyAlignment="1">
      <alignment horizontal="center" vertical="center" wrapText="1"/>
    </xf>
    <xf numFmtId="0" fontId="31" fillId="0" borderId="41" xfId="23" applyFont="1" applyBorder="1" applyAlignment="1">
      <alignment horizontal="center" vertical="center" wrapText="1"/>
    </xf>
    <xf numFmtId="0" fontId="31" fillId="0" borderId="24" xfId="23" applyFont="1" applyBorder="1" applyAlignment="1">
      <alignment horizontal="center" vertical="center"/>
    </xf>
    <xf numFmtId="0" fontId="31" fillId="0" borderId="84" xfId="23" applyFont="1" applyBorder="1" applyAlignment="1">
      <alignment horizontal="center" vertical="center"/>
    </xf>
    <xf numFmtId="0" fontId="31" fillId="0" borderId="25" xfId="23" applyFont="1" applyBorder="1" applyAlignment="1">
      <alignment horizontal="center" vertical="center"/>
    </xf>
    <xf numFmtId="0" fontId="69" fillId="0" borderId="26" xfId="23" applyFont="1" applyBorder="1" applyAlignment="1">
      <alignment horizontal="center" vertical="center"/>
    </xf>
    <xf numFmtId="0" fontId="69" fillId="0" borderId="41" xfId="23" applyFont="1" applyBorder="1" applyAlignment="1">
      <alignment horizontal="center" vertical="center"/>
    </xf>
    <xf numFmtId="0" fontId="68" fillId="0" borderId="0" xfId="23" applyFont="1" applyAlignment="1">
      <alignment horizontal="center"/>
    </xf>
    <xf numFmtId="0" fontId="68" fillId="19" borderId="16" xfId="23" applyFont="1" applyFill="1" applyBorder="1" applyAlignment="1">
      <alignment horizontal="center" vertical="center"/>
    </xf>
    <xf numFmtId="0" fontId="6" fillId="0" borderId="26" xfId="23" applyBorder="1" applyAlignment="1">
      <alignment horizontal="center" vertical="center" wrapText="1"/>
    </xf>
    <xf numFmtId="0" fontId="6" fillId="0" borderId="36" xfId="23" applyBorder="1" applyAlignment="1">
      <alignment horizontal="center" vertical="center" wrapText="1"/>
    </xf>
    <xf numFmtId="0" fontId="6" fillId="0" borderId="67" xfId="23" applyBorder="1" applyAlignment="1">
      <alignment horizontal="center" vertical="center"/>
    </xf>
    <xf numFmtId="0" fontId="6" fillId="0" borderId="61" xfId="23" applyBorder="1" applyAlignment="1">
      <alignment horizontal="center" vertical="center"/>
    </xf>
    <xf numFmtId="0" fontId="6" fillId="0" borderId="64" xfId="23" applyBorder="1" applyAlignment="1">
      <alignment horizontal="center" vertical="center"/>
    </xf>
    <xf numFmtId="0" fontId="6" fillId="0" borderId="58" xfId="23" applyBorder="1" applyAlignment="1">
      <alignment horizontal="center" vertical="center"/>
    </xf>
    <xf numFmtId="0" fontId="6" fillId="0" borderId="16" xfId="23" applyBorder="1" applyAlignment="1">
      <alignment horizontal="center" vertical="center"/>
    </xf>
    <xf numFmtId="0" fontId="6" fillId="0" borderId="66" xfId="23" applyBorder="1" applyAlignment="1">
      <alignment horizontal="center" vertical="center"/>
    </xf>
    <xf numFmtId="0" fontId="69" fillId="0" borderId="67" xfId="23" applyFont="1" applyBorder="1" applyAlignment="1">
      <alignment horizontal="center" vertical="center"/>
    </xf>
    <xf numFmtId="0" fontId="69" fillId="0" borderId="61" xfId="23" applyFont="1" applyBorder="1" applyAlignment="1">
      <alignment horizontal="center" vertical="center"/>
    </xf>
    <xf numFmtId="0" fontId="69" fillId="0" borderId="64" xfId="23" applyFont="1" applyBorder="1" applyAlignment="1">
      <alignment horizontal="center" vertical="center"/>
    </xf>
    <xf numFmtId="0" fontId="70" fillId="0" borderId="58" xfId="23" applyFont="1" applyBorder="1" applyAlignment="1">
      <alignment horizontal="center" vertical="center"/>
    </xf>
    <xf numFmtId="0" fontId="70" fillId="0" borderId="16" xfId="23" applyFont="1" applyBorder="1" applyAlignment="1">
      <alignment horizontal="center" vertical="center"/>
    </xf>
    <xf numFmtId="0" fontId="70" fillId="0" borderId="66" xfId="23" applyFont="1" applyBorder="1" applyAlignment="1">
      <alignment horizontal="center" vertical="center"/>
    </xf>
    <xf numFmtId="0" fontId="69" fillId="0" borderId="26" xfId="23" applyFont="1" applyBorder="1" applyAlignment="1">
      <alignment horizontal="center" vertical="center" wrapText="1"/>
    </xf>
    <xf numFmtId="0" fontId="69" fillId="0" borderId="36" xfId="23" applyFont="1" applyBorder="1" applyAlignment="1">
      <alignment horizontal="center" vertical="center" wrapText="1"/>
    </xf>
    <xf numFmtId="0" fontId="69" fillId="0" borderId="41" xfId="23" applyFont="1" applyBorder="1" applyAlignment="1">
      <alignment horizontal="center" vertical="center" wrapText="1"/>
    </xf>
    <xf numFmtId="0" fontId="31" fillId="0" borderId="36" xfId="23" applyFont="1" applyBorder="1" applyAlignment="1">
      <alignment horizontal="center" vertical="center" wrapText="1"/>
    </xf>
    <xf numFmtId="0" fontId="6" fillId="0" borderId="41" xfId="23" applyBorder="1" applyAlignment="1">
      <alignment horizontal="center" vertical="center" wrapText="1"/>
    </xf>
    <xf numFmtId="0" fontId="31" fillId="0" borderId="24" xfId="23" applyFont="1" applyBorder="1" applyAlignment="1">
      <alignment horizontal="center" vertical="center" wrapText="1"/>
    </xf>
    <xf numFmtId="0" fontId="35" fillId="4" borderId="36" xfId="43" applyFont="1" applyFill="1" applyBorder="1" applyAlignment="1" applyProtection="1">
      <alignment horizontal="center" vertical="center" wrapText="1"/>
      <protection hidden="1"/>
    </xf>
    <xf numFmtId="164" fontId="39" fillId="0" borderId="3" xfId="1" applyFont="1" applyBorder="1" applyAlignment="1">
      <alignment horizontal="center"/>
    </xf>
    <xf numFmtId="164" fontId="37" fillId="0" borderId="67" xfId="1" applyFont="1" applyBorder="1" applyAlignment="1">
      <alignment horizontal="center"/>
    </xf>
    <xf numFmtId="164" fontId="37" fillId="0" borderId="61" xfId="1" applyFont="1" applyBorder="1" applyAlignment="1">
      <alignment horizontal="center"/>
    </xf>
    <xf numFmtId="164" fontId="37" fillId="0" borderId="64" xfId="1" applyFont="1" applyBorder="1" applyAlignment="1">
      <alignment horizontal="center"/>
    </xf>
    <xf numFmtId="0" fontId="37" fillId="0" borderId="71" xfId="41" applyFont="1" applyBorder="1" applyAlignment="1">
      <alignment horizontal="center"/>
    </xf>
    <xf numFmtId="0" fontId="37" fillId="0" borderId="69" xfId="41" applyFont="1" applyBorder="1" applyAlignment="1">
      <alignment horizontal="center"/>
    </xf>
    <xf numFmtId="0" fontId="37" fillId="0" borderId="70" xfId="41" applyFont="1" applyBorder="1" applyAlignment="1">
      <alignment horizontal="center"/>
    </xf>
    <xf numFmtId="0" fontId="37" fillId="25" borderId="71" xfId="41" applyFont="1" applyFill="1" applyBorder="1" applyAlignment="1">
      <alignment horizontal="center"/>
    </xf>
    <xf numFmtId="0" fontId="37" fillId="25" borderId="70" xfId="41" applyFont="1" applyFill="1" applyBorder="1" applyAlignment="1">
      <alignment horizontal="center"/>
    </xf>
    <xf numFmtId="0" fontId="37" fillId="0" borderId="68" xfId="41" applyFont="1" applyBorder="1" applyAlignment="1">
      <alignment horizontal="center"/>
    </xf>
    <xf numFmtId="0" fontId="37" fillId="0" borderId="85" xfId="41" applyFont="1" applyBorder="1" applyAlignment="1">
      <alignment horizontal="center"/>
    </xf>
    <xf numFmtId="0" fontId="0" fillId="74" borderId="99" xfId="0" applyFill="1" applyBorder="1" applyAlignment="1">
      <alignment horizontal="center"/>
    </xf>
    <xf numFmtId="0" fontId="0" fillId="74" borderId="87" xfId="0" applyFill="1" applyBorder="1" applyAlignment="1">
      <alignment horizontal="center"/>
    </xf>
    <xf numFmtId="0" fontId="0" fillId="74" borderId="51" xfId="0" applyFill="1" applyBorder="1" applyAlignment="1">
      <alignment horizontal="center"/>
    </xf>
    <xf numFmtId="0" fontId="0" fillId="74" borderId="67" xfId="0" applyFill="1" applyBorder="1" applyAlignment="1">
      <alignment horizontal="center" vertical="center"/>
    </xf>
    <xf numFmtId="0" fontId="0" fillId="74" borderId="58" xfId="0" applyFill="1" applyBorder="1" applyAlignment="1">
      <alignment horizontal="center" vertical="center"/>
    </xf>
    <xf numFmtId="0" fontId="0" fillId="74" borderId="67" xfId="0" applyFill="1" applyBorder="1" applyAlignment="1">
      <alignment horizontal="center"/>
    </xf>
    <xf numFmtId="0" fontId="0" fillId="74" borderId="58" xfId="0" applyFill="1" applyBorder="1" applyAlignment="1">
      <alignment horizontal="center"/>
    </xf>
  </cellXfs>
  <cellStyles count="2212">
    <cellStyle name=" 1" xfId="5"/>
    <cellStyle name=" 1 2" xfId="51"/>
    <cellStyle name=" 1_Stage1" xfId="52"/>
    <cellStyle name="_x000a_bidires=100_x000d_" xfId="53"/>
    <cellStyle name="%" xfId="54"/>
    <cellStyle name="%_Inputs" xfId="55"/>
    <cellStyle name="%_Inputs (const)" xfId="56"/>
    <cellStyle name="%_Inputs Co" xfId="57"/>
    <cellStyle name="?…?ж?Ш?и [0.00]" xfId="58"/>
    <cellStyle name="?W??_‘O’с?р??" xfId="59"/>
    <cellStyle name="_CashFlow_2007_проект_02_02_final" xfId="60"/>
    <cellStyle name="_Model_RAB Мой" xfId="61"/>
    <cellStyle name="_Model_RAB Мой 2" xfId="62"/>
    <cellStyle name="_Model_RAB Мой 2_OREP.KU.2011.MONTHLY.02(v0.1)" xfId="63"/>
    <cellStyle name="_Model_RAB Мой 2_OREP.KU.2011.MONTHLY.02(v0.4)" xfId="64"/>
    <cellStyle name="_Model_RAB Мой 2_OREP.KU.2011.MONTHLY.11(v1.4)" xfId="65"/>
    <cellStyle name="_Model_RAB Мой 2_UPDATE.OREP.KU.2011.MONTHLY.02.TO.1.2" xfId="66"/>
    <cellStyle name="_Model_RAB Мой_46EE.2011(v1.0)" xfId="67"/>
    <cellStyle name="_Model_RAB Мой_46EE.2011(v1.0)_46TE.2011(v1.0)" xfId="68"/>
    <cellStyle name="_Model_RAB Мой_46EE.2011(v1.0)_INDEX.STATION.2012(v1.0)_" xfId="69"/>
    <cellStyle name="_Model_RAB Мой_46EE.2011(v1.0)_INDEX.STATION.2012(v2.0)" xfId="70"/>
    <cellStyle name="_Model_RAB Мой_46EE.2011(v1.0)_INDEX.STATION.2012(v2.1)" xfId="71"/>
    <cellStyle name="_Model_RAB Мой_46EE.2011(v1.0)_TEPLO.PREDEL.2012.M(v1.1)_test" xfId="72"/>
    <cellStyle name="_Model_RAB Мой_46EE.2011(v1.2)" xfId="73"/>
    <cellStyle name="_Model_RAB Мой_46EP.2012(v0.1)" xfId="74"/>
    <cellStyle name="_Model_RAB Мой_46TE.2011(v1.0)" xfId="75"/>
    <cellStyle name="_Model_RAB Мой_ARMRAZR" xfId="76"/>
    <cellStyle name="_Model_RAB Мой_BALANCE.WARM.2010.FACT(v1.0)" xfId="77"/>
    <cellStyle name="_Model_RAB Мой_BALANCE.WARM.2010.PLAN" xfId="78"/>
    <cellStyle name="_Model_RAB Мой_BALANCE.WARM.2011YEAR(v0.7)" xfId="79"/>
    <cellStyle name="_Model_RAB Мой_BALANCE.WARM.2011YEAR.NEW.UPDATE.SCHEME" xfId="80"/>
    <cellStyle name="_Model_RAB Мой_EE.2REK.P2011.4.78(v0.3)" xfId="81"/>
    <cellStyle name="_Model_RAB Мой_FORM910.2012(v1.1)" xfId="82"/>
    <cellStyle name="_Model_RAB Мой_INVEST.EE.PLAN.4.78(v0.1)" xfId="83"/>
    <cellStyle name="_Model_RAB Мой_INVEST.EE.PLAN.4.78(v0.3)" xfId="84"/>
    <cellStyle name="_Model_RAB Мой_INVEST.EE.PLAN.4.78(v1.0)" xfId="85"/>
    <cellStyle name="_Model_RAB Мой_INVEST.PLAN.4.78(v0.1)" xfId="86"/>
    <cellStyle name="_Model_RAB Мой_INVEST.WARM.PLAN.4.78(v0.1)" xfId="87"/>
    <cellStyle name="_Model_RAB Мой_INVEST_WARM_PLAN" xfId="88"/>
    <cellStyle name="_Model_RAB Мой_NADB.JNVLS.APTEKA.2011(v1.3.3)" xfId="89"/>
    <cellStyle name="_Model_RAB Мой_NADB.JNVLS.APTEKA.2011(v1.3.3)_46TE.2011(v1.0)" xfId="90"/>
    <cellStyle name="_Model_RAB Мой_NADB.JNVLS.APTEKA.2011(v1.3.3)_INDEX.STATION.2012(v1.0)_" xfId="91"/>
    <cellStyle name="_Model_RAB Мой_NADB.JNVLS.APTEKA.2011(v1.3.3)_INDEX.STATION.2012(v2.0)" xfId="92"/>
    <cellStyle name="_Model_RAB Мой_NADB.JNVLS.APTEKA.2011(v1.3.3)_INDEX.STATION.2012(v2.1)" xfId="93"/>
    <cellStyle name="_Model_RAB Мой_NADB.JNVLS.APTEKA.2011(v1.3.3)_TEPLO.PREDEL.2012.M(v1.1)_test" xfId="94"/>
    <cellStyle name="_Model_RAB Мой_NADB.JNVLS.APTEKA.2011(v1.3.4)" xfId="95"/>
    <cellStyle name="_Model_RAB Мой_NADB.JNVLS.APTEKA.2011(v1.3.4)_46TE.2011(v1.0)" xfId="96"/>
    <cellStyle name="_Model_RAB Мой_NADB.JNVLS.APTEKA.2011(v1.3.4)_INDEX.STATION.2012(v1.0)_" xfId="97"/>
    <cellStyle name="_Model_RAB Мой_NADB.JNVLS.APTEKA.2011(v1.3.4)_INDEX.STATION.2012(v2.0)" xfId="98"/>
    <cellStyle name="_Model_RAB Мой_NADB.JNVLS.APTEKA.2011(v1.3.4)_INDEX.STATION.2012(v2.1)" xfId="99"/>
    <cellStyle name="_Model_RAB Мой_NADB.JNVLS.APTEKA.2011(v1.3.4)_TEPLO.PREDEL.2012.M(v1.1)_test" xfId="100"/>
    <cellStyle name="_Model_RAB Мой_PASSPORT.TEPLO.PROIZV(v2.1)" xfId="101"/>
    <cellStyle name="_Model_RAB Мой_PR.PROG.WARM.NOTCOMBI.2012.2.16_v1.4(04.04.11) " xfId="102"/>
    <cellStyle name="_Model_RAB Мой_PREDEL.JKH.UTV.2011(v1.0.1)" xfId="103"/>
    <cellStyle name="_Model_RAB Мой_PREDEL.JKH.UTV.2011(v1.0.1)_46TE.2011(v1.0)" xfId="104"/>
    <cellStyle name="_Model_RAB Мой_PREDEL.JKH.UTV.2011(v1.0.1)_INDEX.STATION.2012(v1.0)_" xfId="105"/>
    <cellStyle name="_Model_RAB Мой_PREDEL.JKH.UTV.2011(v1.0.1)_INDEX.STATION.2012(v2.0)" xfId="106"/>
    <cellStyle name="_Model_RAB Мой_PREDEL.JKH.UTV.2011(v1.0.1)_INDEX.STATION.2012(v2.1)" xfId="107"/>
    <cellStyle name="_Model_RAB Мой_PREDEL.JKH.UTV.2011(v1.0.1)_TEPLO.PREDEL.2012.M(v1.1)_test" xfId="108"/>
    <cellStyle name="_Model_RAB Мой_PREDEL.JKH.UTV.2011(v1.1)" xfId="109"/>
    <cellStyle name="_Model_RAB Мой_REP.BLR.2012(v1.0)" xfId="110"/>
    <cellStyle name="_Model_RAB Мой_TEPLO.PREDEL.2012.M(v1.1)" xfId="111"/>
    <cellStyle name="_Model_RAB Мой_TEST.TEMPLATE" xfId="112"/>
    <cellStyle name="_Model_RAB Мой_UPDATE.46EE.2011.TO.1.1" xfId="113"/>
    <cellStyle name="_Model_RAB Мой_UPDATE.46TE.2011.TO.1.1" xfId="114"/>
    <cellStyle name="_Model_RAB Мой_UPDATE.46TE.2011.TO.1.2" xfId="115"/>
    <cellStyle name="_Model_RAB Мой_UPDATE.BALANCE.WARM.2011YEAR.TO.1.1" xfId="116"/>
    <cellStyle name="_Model_RAB Мой_UPDATE.BALANCE.WARM.2011YEAR.TO.1.1_46TE.2011(v1.0)" xfId="117"/>
    <cellStyle name="_Model_RAB Мой_UPDATE.BALANCE.WARM.2011YEAR.TO.1.1_INDEX.STATION.2012(v1.0)_" xfId="118"/>
    <cellStyle name="_Model_RAB Мой_UPDATE.BALANCE.WARM.2011YEAR.TO.1.1_INDEX.STATION.2012(v2.0)" xfId="119"/>
    <cellStyle name="_Model_RAB Мой_UPDATE.BALANCE.WARM.2011YEAR.TO.1.1_INDEX.STATION.2012(v2.1)" xfId="120"/>
    <cellStyle name="_Model_RAB Мой_UPDATE.BALANCE.WARM.2011YEAR.TO.1.1_OREP.KU.2011.MONTHLY.02(v1.1)" xfId="121"/>
    <cellStyle name="_Model_RAB Мой_UPDATE.BALANCE.WARM.2011YEAR.TO.1.1_TEPLO.PREDEL.2012.M(v1.1)_test" xfId="122"/>
    <cellStyle name="_Model_RAB Мой_UPDATE.NADB.JNVLS.APTEKA.2011.TO.1.3.4" xfId="123"/>
    <cellStyle name="_Model_RAB Мой_Книга2_PR.PROG.WARM.NOTCOMBI.2012.2.16_v1.4(04.04.11) " xfId="124"/>
    <cellStyle name="_Model_RAB_MRSK_svod" xfId="125"/>
    <cellStyle name="_Model_RAB_MRSK_svod 2" xfId="126"/>
    <cellStyle name="_Model_RAB_MRSK_svod 2_OREP.KU.2011.MONTHLY.02(v0.1)" xfId="127"/>
    <cellStyle name="_Model_RAB_MRSK_svod 2_OREP.KU.2011.MONTHLY.02(v0.4)" xfId="128"/>
    <cellStyle name="_Model_RAB_MRSK_svod 2_OREP.KU.2011.MONTHLY.11(v1.4)" xfId="129"/>
    <cellStyle name="_Model_RAB_MRSK_svod 2_UPDATE.OREP.KU.2011.MONTHLY.02.TO.1.2" xfId="130"/>
    <cellStyle name="_Model_RAB_MRSK_svod_46EE.2011(v1.0)" xfId="131"/>
    <cellStyle name="_Model_RAB_MRSK_svod_46EE.2011(v1.0)_46TE.2011(v1.0)" xfId="132"/>
    <cellStyle name="_Model_RAB_MRSK_svod_46EE.2011(v1.0)_INDEX.STATION.2012(v1.0)_" xfId="133"/>
    <cellStyle name="_Model_RAB_MRSK_svod_46EE.2011(v1.0)_INDEX.STATION.2012(v2.0)" xfId="134"/>
    <cellStyle name="_Model_RAB_MRSK_svod_46EE.2011(v1.0)_INDEX.STATION.2012(v2.1)" xfId="135"/>
    <cellStyle name="_Model_RAB_MRSK_svod_46EE.2011(v1.0)_TEPLO.PREDEL.2012.M(v1.1)_test" xfId="136"/>
    <cellStyle name="_Model_RAB_MRSK_svod_46EE.2011(v1.2)" xfId="137"/>
    <cellStyle name="_Model_RAB_MRSK_svod_46EP.2012(v0.1)" xfId="138"/>
    <cellStyle name="_Model_RAB_MRSK_svod_46TE.2011(v1.0)" xfId="139"/>
    <cellStyle name="_Model_RAB_MRSK_svod_ARMRAZR" xfId="140"/>
    <cellStyle name="_Model_RAB_MRSK_svod_BALANCE.WARM.2010.FACT(v1.0)" xfId="141"/>
    <cellStyle name="_Model_RAB_MRSK_svod_BALANCE.WARM.2010.PLAN" xfId="142"/>
    <cellStyle name="_Model_RAB_MRSK_svod_BALANCE.WARM.2011YEAR(v0.7)" xfId="143"/>
    <cellStyle name="_Model_RAB_MRSK_svod_BALANCE.WARM.2011YEAR.NEW.UPDATE.SCHEME" xfId="144"/>
    <cellStyle name="_Model_RAB_MRSK_svod_EE.2REK.P2011.4.78(v0.3)" xfId="145"/>
    <cellStyle name="_Model_RAB_MRSK_svod_FORM910.2012(v1.1)" xfId="146"/>
    <cellStyle name="_Model_RAB_MRSK_svod_INVEST.EE.PLAN.4.78(v0.1)" xfId="147"/>
    <cellStyle name="_Model_RAB_MRSK_svod_INVEST.EE.PLAN.4.78(v0.3)" xfId="148"/>
    <cellStyle name="_Model_RAB_MRSK_svod_INVEST.EE.PLAN.4.78(v1.0)" xfId="149"/>
    <cellStyle name="_Model_RAB_MRSK_svod_INVEST.PLAN.4.78(v0.1)" xfId="150"/>
    <cellStyle name="_Model_RAB_MRSK_svod_INVEST.WARM.PLAN.4.78(v0.1)" xfId="151"/>
    <cellStyle name="_Model_RAB_MRSK_svod_INVEST_WARM_PLAN" xfId="152"/>
    <cellStyle name="_Model_RAB_MRSK_svod_NADB.JNVLS.APTEKA.2011(v1.3.3)" xfId="153"/>
    <cellStyle name="_Model_RAB_MRSK_svod_NADB.JNVLS.APTEKA.2011(v1.3.3)_46TE.2011(v1.0)" xfId="154"/>
    <cellStyle name="_Model_RAB_MRSK_svod_NADB.JNVLS.APTEKA.2011(v1.3.3)_INDEX.STATION.2012(v1.0)_" xfId="155"/>
    <cellStyle name="_Model_RAB_MRSK_svod_NADB.JNVLS.APTEKA.2011(v1.3.3)_INDEX.STATION.2012(v2.0)" xfId="156"/>
    <cellStyle name="_Model_RAB_MRSK_svod_NADB.JNVLS.APTEKA.2011(v1.3.3)_INDEX.STATION.2012(v2.1)" xfId="157"/>
    <cellStyle name="_Model_RAB_MRSK_svod_NADB.JNVLS.APTEKA.2011(v1.3.3)_TEPLO.PREDEL.2012.M(v1.1)_test" xfId="158"/>
    <cellStyle name="_Model_RAB_MRSK_svod_NADB.JNVLS.APTEKA.2011(v1.3.4)" xfId="159"/>
    <cellStyle name="_Model_RAB_MRSK_svod_NADB.JNVLS.APTEKA.2011(v1.3.4)_46TE.2011(v1.0)" xfId="160"/>
    <cellStyle name="_Model_RAB_MRSK_svod_NADB.JNVLS.APTEKA.2011(v1.3.4)_INDEX.STATION.2012(v1.0)_" xfId="161"/>
    <cellStyle name="_Model_RAB_MRSK_svod_NADB.JNVLS.APTEKA.2011(v1.3.4)_INDEX.STATION.2012(v2.0)" xfId="162"/>
    <cellStyle name="_Model_RAB_MRSK_svod_NADB.JNVLS.APTEKA.2011(v1.3.4)_INDEX.STATION.2012(v2.1)" xfId="163"/>
    <cellStyle name="_Model_RAB_MRSK_svod_NADB.JNVLS.APTEKA.2011(v1.3.4)_TEPLO.PREDEL.2012.M(v1.1)_test" xfId="164"/>
    <cellStyle name="_Model_RAB_MRSK_svod_PASSPORT.TEPLO.PROIZV(v2.1)" xfId="165"/>
    <cellStyle name="_Model_RAB_MRSK_svod_PR.PROG.WARM.NOTCOMBI.2012.2.16_v1.4(04.04.11) " xfId="166"/>
    <cellStyle name="_Model_RAB_MRSK_svod_PREDEL.JKH.UTV.2011(v1.0.1)" xfId="167"/>
    <cellStyle name="_Model_RAB_MRSK_svod_PREDEL.JKH.UTV.2011(v1.0.1)_46TE.2011(v1.0)" xfId="168"/>
    <cellStyle name="_Model_RAB_MRSK_svod_PREDEL.JKH.UTV.2011(v1.0.1)_INDEX.STATION.2012(v1.0)_" xfId="169"/>
    <cellStyle name="_Model_RAB_MRSK_svod_PREDEL.JKH.UTV.2011(v1.0.1)_INDEX.STATION.2012(v2.0)" xfId="170"/>
    <cellStyle name="_Model_RAB_MRSK_svod_PREDEL.JKH.UTV.2011(v1.0.1)_INDEX.STATION.2012(v2.1)" xfId="171"/>
    <cellStyle name="_Model_RAB_MRSK_svod_PREDEL.JKH.UTV.2011(v1.0.1)_TEPLO.PREDEL.2012.M(v1.1)_test" xfId="172"/>
    <cellStyle name="_Model_RAB_MRSK_svod_PREDEL.JKH.UTV.2011(v1.1)" xfId="173"/>
    <cellStyle name="_Model_RAB_MRSK_svod_REP.BLR.2012(v1.0)" xfId="174"/>
    <cellStyle name="_Model_RAB_MRSK_svod_TEPLO.PREDEL.2012.M(v1.1)" xfId="175"/>
    <cellStyle name="_Model_RAB_MRSK_svod_TEST.TEMPLATE" xfId="176"/>
    <cellStyle name="_Model_RAB_MRSK_svod_UPDATE.46EE.2011.TO.1.1" xfId="177"/>
    <cellStyle name="_Model_RAB_MRSK_svod_UPDATE.46TE.2011.TO.1.1" xfId="178"/>
    <cellStyle name="_Model_RAB_MRSK_svod_UPDATE.46TE.2011.TO.1.2" xfId="179"/>
    <cellStyle name="_Model_RAB_MRSK_svod_UPDATE.BALANCE.WARM.2011YEAR.TO.1.1" xfId="180"/>
    <cellStyle name="_Model_RAB_MRSK_svod_UPDATE.BALANCE.WARM.2011YEAR.TO.1.1_46TE.2011(v1.0)" xfId="181"/>
    <cellStyle name="_Model_RAB_MRSK_svod_UPDATE.BALANCE.WARM.2011YEAR.TO.1.1_INDEX.STATION.2012(v1.0)_" xfId="182"/>
    <cellStyle name="_Model_RAB_MRSK_svod_UPDATE.BALANCE.WARM.2011YEAR.TO.1.1_INDEX.STATION.2012(v2.0)" xfId="183"/>
    <cellStyle name="_Model_RAB_MRSK_svod_UPDATE.BALANCE.WARM.2011YEAR.TO.1.1_INDEX.STATION.2012(v2.1)" xfId="184"/>
    <cellStyle name="_Model_RAB_MRSK_svod_UPDATE.BALANCE.WARM.2011YEAR.TO.1.1_OREP.KU.2011.MONTHLY.02(v1.1)" xfId="185"/>
    <cellStyle name="_Model_RAB_MRSK_svod_UPDATE.BALANCE.WARM.2011YEAR.TO.1.1_TEPLO.PREDEL.2012.M(v1.1)_test" xfId="186"/>
    <cellStyle name="_Model_RAB_MRSK_svod_UPDATE.NADB.JNVLS.APTEKA.2011.TO.1.3.4" xfId="187"/>
    <cellStyle name="_Model_RAB_MRSK_svod_Книга2_PR.PROG.WARM.NOTCOMBI.2012.2.16_v1.4(04.04.11) " xfId="188"/>
    <cellStyle name="_Plug" xfId="189"/>
    <cellStyle name="_Бюджет2006_ПОКАЗАТЕЛИ СВОДНЫЕ" xfId="190"/>
    <cellStyle name="_ВО ОП ТЭС-ОТ- 2007" xfId="191"/>
    <cellStyle name="_ВО ОП ТЭС-ОТ- 2007_Новая инструкция1_фст" xfId="192"/>
    <cellStyle name="_ВФ ОАО ТЭС-ОТ- 2009" xfId="193"/>
    <cellStyle name="_ВФ ОАО ТЭС-ОТ- 2009_Новая инструкция1_фст" xfId="194"/>
    <cellStyle name="_выручка по присоединениям2" xfId="195"/>
    <cellStyle name="_выручка по присоединениям2_Новая инструкция1_фст" xfId="196"/>
    <cellStyle name="_Договор аренды ЯЭ с разбивкой" xfId="197"/>
    <cellStyle name="_Договор аренды ЯЭ с разбивкой_Новая инструкция1_фст" xfId="198"/>
    <cellStyle name="_Защита ФЗП" xfId="199"/>
    <cellStyle name="_Исходные данные для модели" xfId="200"/>
    <cellStyle name="_Исходные данные для модели_Новая инструкция1_фст" xfId="201"/>
    <cellStyle name="_Консолидация-2008-проект-new" xfId="202"/>
    <cellStyle name="_МОДЕЛЬ_1 (2)" xfId="203"/>
    <cellStyle name="_МОДЕЛЬ_1 (2) 2" xfId="204"/>
    <cellStyle name="_МОДЕЛЬ_1 (2) 2_OREP.KU.2011.MONTHLY.02(v0.1)" xfId="205"/>
    <cellStyle name="_МОДЕЛЬ_1 (2) 2_OREP.KU.2011.MONTHLY.02(v0.4)" xfId="206"/>
    <cellStyle name="_МОДЕЛЬ_1 (2) 2_OREP.KU.2011.MONTHLY.11(v1.4)" xfId="207"/>
    <cellStyle name="_МОДЕЛЬ_1 (2) 2_UPDATE.OREP.KU.2011.MONTHLY.02.TO.1.2" xfId="208"/>
    <cellStyle name="_МОДЕЛЬ_1 (2)_46EE.2011(v1.0)" xfId="209"/>
    <cellStyle name="_МОДЕЛЬ_1 (2)_46EE.2011(v1.0)_46TE.2011(v1.0)" xfId="210"/>
    <cellStyle name="_МОДЕЛЬ_1 (2)_46EE.2011(v1.0)_INDEX.STATION.2012(v1.0)_" xfId="211"/>
    <cellStyle name="_МОДЕЛЬ_1 (2)_46EE.2011(v1.0)_INDEX.STATION.2012(v2.0)" xfId="212"/>
    <cellStyle name="_МОДЕЛЬ_1 (2)_46EE.2011(v1.0)_INDEX.STATION.2012(v2.1)" xfId="213"/>
    <cellStyle name="_МОДЕЛЬ_1 (2)_46EE.2011(v1.0)_TEPLO.PREDEL.2012.M(v1.1)_test" xfId="214"/>
    <cellStyle name="_МОДЕЛЬ_1 (2)_46EE.2011(v1.2)" xfId="215"/>
    <cellStyle name="_МОДЕЛЬ_1 (2)_46EP.2012(v0.1)" xfId="216"/>
    <cellStyle name="_МОДЕЛЬ_1 (2)_46TE.2011(v1.0)" xfId="217"/>
    <cellStyle name="_МОДЕЛЬ_1 (2)_ARMRAZR" xfId="218"/>
    <cellStyle name="_МОДЕЛЬ_1 (2)_BALANCE.WARM.2010.FACT(v1.0)" xfId="219"/>
    <cellStyle name="_МОДЕЛЬ_1 (2)_BALANCE.WARM.2010.PLAN" xfId="220"/>
    <cellStyle name="_МОДЕЛЬ_1 (2)_BALANCE.WARM.2011YEAR(v0.7)" xfId="221"/>
    <cellStyle name="_МОДЕЛЬ_1 (2)_BALANCE.WARM.2011YEAR.NEW.UPDATE.SCHEME" xfId="222"/>
    <cellStyle name="_МОДЕЛЬ_1 (2)_EE.2REK.P2011.4.78(v0.3)" xfId="223"/>
    <cellStyle name="_МОДЕЛЬ_1 (2)_FORM910.2012(v1.1)" xfId="224"/>
    <cellStyle name="_МОДЕЛЬ_1 (2)_INVEST.EE.PLAN.4.78(v0.1)" xfId="225"/>
    <cellStyle name="_МОДЕЛЬ_1 (2)_INVEST.EE.PLAN.4.78(v0.3)" xfId="226"/>
    <cellStyle name="_МОДЕЛЬ_1 (2)_INVEST.EE.PLAN.4.78(v1.0)" xfId="227"/>
    <cellStyle name="_МОДЕЛЬ_1 (2)_INVEST.PLAN.4.78(v0.1)" xfId="228"/>
    <cellStyle name="_МОДЕЛЬ_1 (2)_INVEST.WARM.PLAN.4.78(v0.1)" xfId="229"/>
    <cellStyle name="_МОДЕЛЬ_1 (2)_INVEST_WARM_PLAN" xfId="230"/>
    <cellStyle name="_МОДЕЛЬ_1 (2)_NADB.JNVLS.APTEKA.2011(v1.3.3)" xfId="231"/>
    <cellStyle name="_МОДЕЛЬ_1 (2)_NADB.JNVLS.APTEKA.2011(v1.3.3)_46TE.2011(v1.0)" xfId="232"/>
    <cellStyle name="_МОДЕЛЬ_1 (2)_NADB.JNVLS.APTEKA.2011(v1.3.3)_INDEX.STATION.2012(v1.0)_" xfId="233"/>
    <cellStyle name="_МОДЕЛЬ_1 (2)_NADB.JNVLS.APTEKA.2011(v1.3.3)_INDEX.STATION.2012(v2.0)" xfId="234"/>
    <cellStyle name="_МОДЕЛЬ_1 (2)_NADB.JNVLS.APTEKA.2011(v1.3.3)_INDEX.STATION.2012(v2.1)" xfId="235"/>
    <cellStyle name="_МОДЕЛЬ_1 (2)_NADB.JNVLS.APTEKA.2011(v1.3.3)_TEPLO.PREDEL.2012.M(v1.1)_test" xfId="236"/>
    <cellStyle name="_МОДЕЛЬ_1 (2)_NADB.JNVLS.APTEKA.2011(v1.3.4)" xfId="237"/>
    <cellStyle name="_МОДЕЛЬ_1 (2)_NADB.JNVLS.APTEKA.2011(v1.3.4)_46TE.2011(v1.0)" xfId="238"/>
    <cellStyle name="_МОДЕЛЬ_1 (2)_NADB.JNVLS.APTEKA.2011(v1.3.4)_INDEX.STATION.2012(v1.0)_" xfId="239"/>
    <cellStyle name="_МОДЕЛЬ_1 (2)_NADB.JNVLS.APTEKA.2011(v1.3.4)_INDEX.STATION.2012(v2.0)" xfId="240"/>
    <cellStyle name="_МОДЕЛЬ_1 (2)_NADB.JNVLS.APTEKA.2011(v1.3.4)_INDEX.STATION.2012(v2.1)" xfId="241"/>
    <cellStyle name="_МОДЕЛЬ_1 (2)_NADB.JNVLS.APTEKA.2011(v1.3.4)_TEPLO.PREDEL.2012.M(v1.1)_test" xfId="242"/>
    <cellStyle name="_МОДЕЛЬ_1 (2)_PASSPORT.TEPLO.PROIZV(v2.1)" xfId="243"/>
    <cellStyle name="_МОДЕЛЬ_1 (2)_PR.PROG.WARM.NOTCOMBI.2012.2.16_v1.4(04.04.11) " xfId="244"/>
    <cellStyle name="_МОДЕЛЬ_1 (2)_PREDEL.JKH.UTV.2011(v1.0.1)" xfId="245"/>
    <cellStyle name="_МОДЕЛЬ_1 (2)_PREDEL.JKH.UTV.2011(v1.0.1)_46TE.2011(v1.0)" xfId="246"/>
    <cellStyle name="_МОДЕЛЬ_1 (2)_PREDEL.JKH.UTV.2011(v1.0.1)_INDEX.STATION.2012(v1.0)_" xfId="247"/>
    <cellStyle name="_МОДЕЛЬ_1 (2)_PREDEL.JKH.UTV.2011(v1.0.1)_INDEX.STATION.2012(v2.0)" xfId="248"/>
    <cellStyle name="_МОДЕЛЬ_1 (2)_PREDEL.JKH.UTV.2011(v1.0.1)_INDEX.STATION.2012(v2.1)" xfId="249"/>
    <cellStyle name="_МОДЕЛЬ_1 (2)_PREDEL.JKH.UTV.2011(v1.0.1)_TEPLO.PREDEL.2012.M(v1.1)_test" xfId="250"/>
    <cellStyle name="_МОДЕЛЬ_1 (2)_PREDEL.JKH.UTV.2011(v1.1)" xfId="251"/>
    <cellStyle name="_МОДЕЛЬ_1 (2)_REP.BLR.2012(v1.0)" xfId="252"/>
    <cellStyle name="_МОДЕЛЬ_1 (2)_TEPLO.PREDEL.2012.M(v1.1)" xfId="253"/>
    <cellStyle name="_МОДЕЛЬ_1 (2)_TEST.TEMPLATE" xfId="254"/>
    <cellStyle name="_МОДЕЛЬ_1 (2)_UPDATE.46EE.2011.TO.1.1" xfId="255"/>
    <cellStyle name="_МОДЕЛЬ_1 (2)_UPDATE.46TE.2011.TO.1.1" xfId="256"/>
    <cellStyle name="_МОДЕЛЬ_1 (2)_UPDATE.46TE.2011.TO.1.2" xfId="257"/>
    <cellStyle name="_МОДЕЛЬ_1 (2)_UPDATE.BALANCE.WARM.2011YEAR.TO.1.1" xfId="258"/>
    <cellStyle name="_МОДЕЛЬ_1 (2)_UPDATE.BALANCE.WARM.2011YEAR.TO.1.1_46TE.2011(v1.0)" xfId="259"/>
    <cellStyle name="_МОДЕЛЬ_1 (2)_UPDATE.BALANCE.WARM.2011YEAR.TO.1.1_INDEX.STATION.2012(v1.0)_" xfId="260"/>
    <cellStyle name="_МОДЕЛЬ_1 (2)_UPDATE.BALANCE.WARM.2011YEAR.TO.1.1_INDEX.STATION.2012(v2.0)" xfId="261"/>
    <cellStyle name="_МОДЕЛЬ_1 (2)_UPDATE.BALANCE.WARM.2011YEAR.TO.1.1_INDEX.STATION.2012(v2.1)" xfId="262"/>
    <cellStyle name="_МОДЕЛЬ_1 (2)_UPDATE.BALANCE.WARM.2011YEAR.TO.1.1_OREP.KU.2011.MONTHLY.02(v1.1)" xfId="263"/>
    <cellStyle name="_МОДЕЛЬ_1 (2)_UPDATE.BALANCE.WARM.2011YEAR.TO.1.1_TEPLO.PREDEL.2012.M(v1.1)_test" xfId="264"/>
    <cellStyle name="_МОДЕЛЬ_1 (2)_UPDATE.NADB.JNVLS.APTEKA.2011.TO.1.3.4" xfId="265"/>
    <cellStyle name="_МОДЕЛЬ_1 (2)_Книга2_PR.PROG.WARM.NOTCOMBI.2012.2.16_v1.4(04.04.11) " xfId="266"/>
    <cellStyle name="_НВВ 2009 постатейно свод по филиалам_09_02_09" xfId="267"/>
    <cellStyle name="_НВВ 2009 постатейно свод по филиалам_09_02_09_Новая инструкция1_фст" xfId="268"/>
    <cellStyle name="_НВВ 2009 постатейно свод по филиалам_для Валентина" xfId="269"/>
    <cellStyle name="_НВВ 2009 постатейно свод по филиалам_для Валентина_Новая инструкция1_фст" xfId="270"/>
    <cellStyle name="_Омск" xfId="271"/>
    <cellStyle name="_Омск_Новая инструкция1_фст" xfId="272"/>
    <cellStyle name="_ОТ ИД 2009" xfId="273"/>
    <cellStyle name="_ОТ ИД 2009_Новая инструкция1_фст" xfId="274"/>
    <cellStyle name="_пр 5 тариф RAB" xfId="275"/>
    <cellStyle name="_пр 5 тариф RAB 2" xfId="276"/>
    <cellStyle name="_пр 5 тариф RAB 2_OREP.KU.2011.MONTHLY.02(v0.1)" xfId="277"/>
    <cellStyle name="_пр 5 тариф RAB 2_OREP.KU.2011.MONTHLY.02(v0.4)" xfId="278"/>
    <cellStyle name="_пр 5 тариф RAB 2_OREP.KU.2011.MONTHLY.11(v1.4)" xfId="279"/>
    <cellStyle name="_пр 5 тариф RAB 2_UPDATE.OREP.KU.2011.MONTHLY.02.TO.1.2" xfId="280"/>
    <cellStyle name="_пр 5 тариф RAB_46EE.2011(v1.0)" xfId="281"/>
    <cellStyle name="_пр 5 тариф RAB_46EE.2011(v1.0)_46TE.2011(v1.0)" xfId="282"/>
    <cellStyle name="_пр 5 тариф RAB_46EE.2011(v1.0)_INDEX.STATION.2012(v1.0)_" xfId="283"/>
    <cellStyle name="_пр 5 тариф RAB_46EE.2011(v1.0)_INDEX.STATION.2012(v2.0)" xfId="284"/>
    <cellStyle name="_пр 5 тариф RAB_46EE.2011(v1.0)_INDEX.STATION.2012(v2.1)" xfId="285"/>
    <cellStyle name="_пр 5 тариф RAB_46EE.2011(v1.0)_TEPLO.PREDEL.2012.M(v1.1)_test" xfId="286"/>
    <cellStyle name="_пр 5 тариф RAB_46EE.2011(v1.2)" xfId="287"/>
    <cellStyle name="_пр 5 тариф RAB_46EP.2012(v0.1)" xfId="288"/>
    <cellStyle name="_пр 5 тариф RAB_46TE.2011(v1.0)" xfId="289"/>
    <cellStyle name="_пр 5 тариф RAB_ARMRAZR" xfId="290"/>
    <cellStyle name="_пр 5 тариф RAB_BALANCE.WARM.2010.FACT(v1.0)" xfId="291"/>
    <cellStyle name="_пр 5 тариф RAB_BALANCE.WARM.2010.PLAN" xfId="292"/>
    <cellStyle name="_пр 5 тариф RAB_BALANCE.WARM.2011YEAR(v0.7)" xfId="293"/>
    <cellStyle name="_пр 5 тариф RAB_BALANCE.WARM.2011YEAR.NEW.UPDATE.SCHEME" xfId="294"/>
    <cellStyle name="_пр 5 тариф RAB_EE.2REK.P2011.4.78(v0.3)" xfId="295"/>
    <cellStyle name="_пр 5 тариф RAB_FORM910.2012(v1.1)" xfId="296"/>
    <cellStyle name="_пр 5 тариф RAB_INVEST.EE.PLAN.4.78(v0.1)" xfId="297"/>
    <cellStyle name="_пр 5 тариф RAB_INVEST.EE.PLAN.4.78(v0.3)" xfId="298"/>
    <cellStyle name="_пр 5 тариф RAB_INVEST.EE.PLAN.4.78(v1.0)" xfId="299"/>
    <cellStyle name="_пр 5 тариф RAB_INVEST.PLAN.4.78(v0.1)" xfId="300"/>
    <cellStyle name="_пр 5 тариф RAB_INVEST.WARM.PLAN.4.78(v0.1)" xfId="301"/>
    <cellStyle name="_пр 5 тариф RAB_INVEST_WARM_PLAN" xfId="302"/>
    <cellStyle name="_пр 5 тариф RAB_NADB.JNVLS.APTEKA.2011(v1.3.3)" xfId="303"/>
    <cellStyle name="_пр 5 тариф RAB_NADB.JNVLS.APTEKA.2011(v1.3.3)_46TE.2011(v1.0)" xfId="304"/>
    <cellStyle name="_пр 5 тариф RAB_NADB.JNVLS.APTEKA.2011(v1.3.3)_INDEX.STATION.2012(v1.0)_" xfId="305"/>
    <cellStyle name="_пр 5 тариф RAB_NADB.JNVLS.APTEKA.2011(v1.3.3)_INDEX.STATION.2012(v2.0)" xfId="306"/>
    <cellStyle name="_пр 5 тариф RAB_NADB.JNVLS.APTEKA.2011(v1.3.3)_INDEX.STATION.2012(v2.1)" xfId="307"/>
    <cellStyle name="_пр 5 тариф RAB_NADB.JNVLS.APTEKA.2011(v1.3.3)_TEPLO.PREDEL.2012.M(v1.1)_test" xfId="308"/>
    <cellStyle name="_пр 5 тариф RAB_NADB.JNVLS.APTEKA.2011(v1.3.4)" xfId="309"/>
    <cellStyle name="_пр 5 тариф RAB_NADB.JNVLS.APTEKA.2011(v1.3.4)_46TE.2011(v1.0)" xfId="310"/>
    <cellStyle name="_пр 5 тариф RAB_NADB.JNVLS.APTEKA.2011(v1.3.4)_INDEX.STATION.2012(v1.0)_" xfId="311"/>
    <cellStyle name="_пр 5 тариф RAB_NADB.JNVLS.APTEKA.2011(v1.3.4)_INDEX.STATION.2012(v2.0)" xfId="312"/>
    <cellStyle name="_пр 5 тариф RAB_NADB.JNVLS.APTEKA.2011(v1.3.4)_INDEX.STATION.2012(v2.1)" xfId="313"/>
    <cellStyle name="_пр 5 тариф RAB_NADB.JNVLS.APTEKA.2011(v1.3.4)_TEPLO.PREDEL.2012.M(v1.1)_test" xfId="314"/>
    <cellStyle name="_пр 5 тариф RAB_PASSPORT.TEPLO.PROIZV(v2.1)" xfId="315"/>
    <cellStyle name="_пр 5 тариф RAB_PR.PROG.WARM.NOTCOMBI.2012.2.16_v1.4(04.04.11) " xfId="316"/>
    <cellStyle name="_пр 5 тариф RAB_PREDEL.JKH.UTV.2011(v1.0.1)" xfId="317"/>
    <cellStyle name="_пр 5 тариф RAB_PREDEL.JKH.UTV.2011(v1.0.1)_46TE.2011(v1.0)" xfId="318"/>
    <cellStyle name="_пр 5 тариф RAB_PREDEL.JKH.UTV.2011(v1.0.1)_INDEX.STATION.2012(v1.0)_" xfId="319"/>
    <cellStyle name="_пр 5 тариф RAB_PREDEL.JKH.UTV.2011(v1.0.1)_INDEX.STATION.2012(v2.0)" xfId="320"/>
    <cellStyle name="_пр 5 тариф RAB_PREDEL.JKH.UTV.2011(v1.0.1)_INDEX.STATION.2012(v2.1)" xfId="321"/>
    <cellStyle name="_пр 5 тариф RAB_PREDEL.JKH.UTV.2011(v1.0.1)_TEPLO.PREDEL.2012.M(v1.1)_test" xfId="322"/>
    <cellStyle name="_пр 5 тариф RAB_PREDEL.JKH.UTV.2011(v1.1)" xfId="323"/>
    <cellStyle name="_пр 5 тариф RAB_REP.BLR.2012(v1.0)" xfId="324"/>
    <cellStyle name="_пр 5 тариф RAB_TEPLO.PREDEL.2012.M(v1.1)" xfId="325"/>
    <cellStyle name="_пр 5 тариф RAB_TEST.TEMPLATE" xfId="326"/>
    <cellStyle name="_пр 5 тариф RAB_UPDATE.46EE.2011.TO.1.1" xfId="327"/>
    <cellStyle name="_пр 5 тариф RAB_UPDATE.46TE.2011.TO.1.1" xfId="328"/>
    <cellStyle name="_пр 5 тариф RAB_UPDATE.46TE.2011.TO.1.2" xfId="329"/>
    <cellStyle name="_пр 5 тариф RAB_UPDATE.BALANCE.WARM.2011YEAR.TO.1.1" xfId="330"/>
    <cellStyle name="_пр 5 тариф RAB_UPDATE.BALANCE.WARM.2011YEAR.TO.1.1_46TE.2011(v1.0)" xfId="331"/>
    <cellStyle name="_пр 5 тариф RAB_UPDATE.BALANCE.WARM.2011YEAR.TO.1.1_INDEX.STATION.2012(v1.0)_" xfId="332"/>
    <cellStyle name="_пр 5 тариф RAB_UPDATE.BALANCE.WARM.2011YEAR.TO.1.1_INDEX.STATION.2012(v2.0)" xfId="333"/>
    <cellStyle name="_пр 5 тариф RAB_UPDATE.BALANCE.WARM.2011YEAR.TO.1.1_INDEX.STATION.2012(v2.1)" xfId="334"/>
    <cellStyle name="_пр 5 тариф RAB_UPDATE.BALANCE.WARM.2011YEAR.TO.1.1_OREP.KU.2011.MONTHLY.02(v1.1)" xfId="335"/>
    <cellStyle name="_пр 5 тариф RAB_UPDATE.BALANCE.WARM.2011YEAR.TO.1.1_TEPLO.PREDEL.2012.M(v1.1)_test" xfId="336"/>
    <cellStyle name="_пр 5 тариф RAB_UPDATE.NADB.JNVLS.APTEKA.2011.TO.1.3.4" xfId="337"/>
    <cellStyle name="_пр 5 тариф RAB_Книга2_PR.PROG.WARM.NOTCOMBI.2012.2.16_v1.4(04.04.11) " xfId="338"/>
    <cellStyle name="_Предожение _ДБП_2009 г ( согласованные БП)  (2)" xfId="339"/>
    <cellStyle name="_Предожение _ДБП_2009 г ( согласованные БП)  (2)_Новая инструкция1_фст" xfId="340"/>
    <cellStyle name="_Приложение 2 0806 факт" xfId="341"/>
    <cellStyle name="_Приложение МТС-3-КС" xfId="342"/>
    <cellStyle name="_Приложение МТС-3-КС_Новая инструкция1_фст" xfId="343"/>
    <cellStyle name="_Приложение-МТС--2-1" xfId="344"/>
    <cellStyle name="_Приложение-МТС--2-1_Новая инструкция1_фст" xfId="345"/>
    <cellStyle name="_Расчет RAB_22072008" xfId="346"/>
    <cellStyle name="_Расчет RAB_22072008 2" xfId="347"/>
    <cellStyle name="_Расчет RAB_22072008 2_OREP.KU.2011.MONTHLY.02(v0.1)" xfId="348"/>
    <cellStyle name="_Расчет RAB_22072008 2_OREP.KU.2011.MONTHLY.02(v0.4)" xfId="349"/>
    <cellStyle name="_Расчет RAB_22072008 2_OREP.KU.2011.MONTHLY.11(v1.4)" xfId="350"/>
    <cellStyle name="_Расчет RAB_22072008 2_UPDATE.OREP.KU.2011.MONTHLY.02.TO.1.2" xfId="351"/>
    <cellStyle name="_Расчет RAB_22072008_46EE.2011(v1.0)" xfId="352"/>
    <cellStyle name="_Расчет RAB_22072008_46EE.2011(v1.0)_46TE.2011(v1.0)" xfId="353"/>
    <cellStyle name="_Расчет RAB_22072008_46EE.2011(v1.0)_INDEX.STATION.2012(v1.0)_" xfId="354"/>
    <cellStyle name="_Расчет RAB_22072008_46EE.2011(v1.0)_INDEX.STATION.2012(v2.0)" xfId="355"/>
    <cellStyle name="_Расчет RAB_22072008_46EE.2011(v1.0)_INDEX.STATION.2012(v2.1)" xfId="356"/>
    <cellStyle name="_Расчет RAB_22072008_46EE.2011(v1.0)_TEPLO.PREDEL.2012.M(v1.1)_test" xfId="357"/>
    <cellStyle name="_Расчет RAB_22072008_46EE.2011(v1.2)" xfId="358"/>
    <cellStyle name="_Расчет RAB_22072008_46EP.2012(v0.1)" xfId="359"/>
    <cellStyle name="_Расчет RAB_22072008_46TE.2011(v1.0)" xfId="360"/>
    <cellStyle name="_Расчет RAB_22072008_ARMRAZR" xfId="361"/>
    <cellStyle name="_Расчет RAB_22072008_BALANCE.WARM.2010.FACT(v1.0)" xfId="362"/>
    <cellStyle name="_Расчет RAB_22072008_BALANCE.WARM.2010.PLAN" xfId="363"/>
    <cellStyle name="_Расчет RAB_22072008_BALANCE.WARM.2011YEAR(v0.7)" xfId="364"/>
    <cellStyle name="_Расчет RAB_22072008_BALANCE.WARM.2011YEAR.NEW.UPDATE.SCHEME" xfId="365"/>
    <cellStyle name="_Расчет RAB_22072008_EE.2REK.P2011.4.78(v0.3)" xfId="366"/>
    <cellStyle name="_Расчет RAB_22072008_FORM910.2012(v1.1)" xfId="367"/>
    <cellStyle name="_Расчет RAB_22072008_INVEST.EE.PLAN.4.78(v0.1)" xfId="368"/>
    <cellStyle name="_Расчет RAB_22072008_INVEST.EE.PLAN.4.78(v0.3)" xfId="369"/>
    <cellStyle name="_Расчет RAB_22072008_INVEST.EE.PLAN.4.78(v1.0)" xfId="370"/>
    <cellStyle name="_Расчет RAB_22072008_INVEST.PLAN.4.78(v0.1)" xfId="371"/>
    <cellStyle name="_Расчет RAB_22072008_INVEST.WARM.PLAN.4.78(v0.1)" xfId="372"/>
    <cellStyle name="_Расчет RAB_22072008_INVEST_WARM_PLAN" xfId="373"/>
    <cellStyle name="_Расчет RAB_22072008_NADB.JNVLS.APTEKA.2011(v1.3.3)" xfId="374"/>
    <cellStyle name="_Расчет RAB_22072008_NADB.JNVLS.APTEKA.2011(v1.3.3)_46TE.2011(v1.0)" xfId="375"/>
    <cellStyle name="_Расчет RAB_22072008_NADB.JNVLS.APTEKA.2011(v1.3.3)_INDEX.STATION.2012(v1.0)_" xfId="376"/>
    <cellStyle name="_Расчет RAB_22072008_NADB.JNVLS.APTEKA.2011(v1.3.3)_INDEX.STATION.2012(v2.0)" xfId="377"/>
    <cellStyle name="_Расчет RAB_22072008_NADB.JNVLS.APTEKA.2011(v1.3.3)_INDEX.STATION.2012(v2.1)" xfId="378"/>
    <cellStyle name="_Расчет RAB_22072008_NADB.JNVLS.APTEKA.2011(v1.3.3)_TEPLO.PREDEL.2012.M(v1.1)_test" xfId="379"/>
    <cellStyle name="_Расчет RAB_22072008_NADB.JNVLS.APTEKA.2011(v1.3.4)" xfId="380"/>
    <cellStyle name="_Расчет RAB_22072008_NADB.JNVLS.APTEKA.2011(v1.3.4)_46TE.2011(v1.0)" xfId="381"/>
    <cellStyle name="_Расчет RAB_22072008_NADB.JNVLS.APTEKA.2011(v1.3.4)_INDEX.STATION.2012(v1.0)_" xfId="382"/>
    <cellStyle name="_Расчет RAB_22072008_NADB.JNVLS.APTEKA.2011(v1.3.4)_INDEX.STATION.2012(v2.0)" xfId="383"/>
    <cellStyle name="_Расчет RAB_22072008_NADB.JNVLS.APTEKA.2011(v1.3.4)_INDEX.STATION.2012(v2.1)" xfId="384"/>
    <cellStyle name="_Расчет RAB_22072008_NADB.JNVLS.APTEKA.2011(v1.3.4)_TEPLO.PREDEL.2012.M(v1.1)_test" xfId="385"/>
    <cellStyle name="_Расчет RAB_22072008_PASSPORT.TEPLO.PROIZV(v2.1)" xfId="386"/>
    <cellStyle name="_Расчет RAB_22072008_PR.PROG.WARM.NOTCOMBI.2012.2.16_v1.4(04.04.11) " xfId="387"/>
    <cellStyle name="_Расчет RAB_22072008_PREDEL.JKH.UTV.2011(v1.0.1)" xfId="388"/>
    <cellStyle name="_Расчет RAB_22072008_PREDEL.JKH.UTV.2011(v1.0.1)_46TE.2011(v1.0)" xfId="389"/>
    <cellStyle name="_Расчет RAB_22072008_PREDEL.JKH.UTV.2011(v1.0.1)_INDEX.STATION.2012(v1.0)_" xfId="390"/>
    <cellStyle name="_Расчет RAB_22072008_PREDEL.JKH.UTV.2011(v1.0.1)_INDEX.STATION.2012(v2.0)" xfId="391"/>
    <cellStyle name="_Расчет RAB_22072008_PREDEL.JKH.UTV.2011(v1.0.1)_INDEX.STATION.2012(v2.1)" xfId="392"/>
    <cellStyle name="_Расчет RAB_22072008_PREDEL.JKH.UTV.2011(v1.0.1)_TEPLO.PREDEL.2012.M(v1.1)_test" xfId="393"/>
    <cellStyle name="_Расчет RAB_22072008_PREDEL.JKH.UTV.2011(v1.1)" xfId="394"/>
    <cellStyle name="_Расчет RAB_22072008_REP.BLR.2012(v1.0)" xfId="395"/>
    <cellStyle name="_Расчет RAB_22072008_TEPLO.PREDEL.2012.M(v1.1)" xfId="396"/>
    <cellStyle name="_Расчет RAB_22072008_TEST.TEMPLATE" xfId="397"/>
    <cellStyle name="_Расчет RAB_22072008_UPDATE.46EE.2011.TO.1.1" xfId="398"/>
    <cellStyle name="_Расчет RAB_22072008_UPDATE.46TE.2011.TO.1.1" xfId="399"/>
    <cellStyle name="_Расчет RAB_22072008_UPDATE.46TE.2011.TO.1.2" xfId="400"/>
    <cellStyle name="_Расчет RAB_22072008_UPDATE.BALANCE.WARM.2011YEAR.TO.1.1" xfId="401"/>
    <cellStyle name="_Расчет RAB_22072008_UPDATE.BALANCE.WARM.2011YEAR.TO.1.1_46TE.2011(v1.0)" xfId="402"/>
    <cellStyle name="_Расчет RAB_22072008_UPDATE.BALANCE.WARM.2011YEAR.TO.1.1_INDEX.STATION.2012(v1.0)_" xfId="403"/>
    <cellStyle name="_Расчет RAB_22072008_UPDATE.BALANCE.WARM.2011YEAR.TO.1.1_INDEX.STATION.2012(v2.0)" xfId="404"/>
    <cellStyle name="_Расчет RAB_22072008_UPDATE.BALANCE.WARM.2011YEAR.TO.1.1_INDEX.STATION.2012(v2.1)" xfId="405"/>
    <cellStyle name="_Расчет RAB_22072008_UPDATE.BALANCE.WARM.2011YEAR.TO.1.1_OREP.KU.2011.MONTHLY.02(v1.1)" xfId="406"/>
    <cellStyle name="_Расчет RAB_22072008_UPDATE.BALANCE.WARM.2011YEAR.TO.1.1_TEPLO.PREDEL.2012.M(v1.1)_test" xfId="407"/>
    <cellStyle name="_Расчет RAB_22072008_UPDATE.NADB.JNVLS.APTEKA.2011.TO.1.3.4" xfId="408"/>
    <cellStyle name="_Расчет RAB_22072008_Книга2_PR.PROG.WARM.NOTCOMBI.2012.2.16_v1.4(04.04.11) " xfId="409"/>
    <cellStyle name="_Расчет RAB_Лен и МОЭСК_с 2010 года_14.04.2009_со сглаж_version 3.0_без ФСК" xfId="410"/>
    <cellStyle name="_Расчет RAB_Лен и МОЭСК_с 2010 года_14.04.2009_со сглаж_version 3.0_без ФСК 2" xfId="411"/>
    <cellStyle name="_Расчет RAB_Лен и МОЭСК_с 2010 года_14.04.2009_со сглаж_version 3.0_без ФСК 2_OREP.KU.2011.MONTHLY.02(v0.1)" xfId="412"/>
    <cellStyle name="_Расчет RAB_Лен и МОЭСК_с 2010 года_14.04.2009_со сглаж_version 3.0_без ФСК 2_OREP.KU.2011.MONTHLY.02(v0.4)" xfId="413"/>
    <cellStyle name="_Расчет RAB_Лен и МОЭСК_с 2010 года_14.04.2009_со сглаж_version 3.0_без ФСК 2_OREP.KU.2011.MONTHLY.11(v1.4)" xfId="414"/>
    <cellStyle name="_Расчет RAB_Лен и МОЭСК_с 2010 года_14.04.2009_со сглаж_version 3.0_без ФСК 2_UPDATE.OREP.KU.2011.MONTHLY.02.TO.1.2" xfId="415"/>
    <cellStyle name="_Расчет RAB_Лен и МОЭСК_с 2010 года_14.04.2009_со сглаж_version 3.0_без ФСК_46EE.2011(v1.0)" xfId="416"/>
    <cellStyle name="_Расчет RAB_Лен и МОЭСК_с 2010 года_14.04.2009_со сглаж_version 3.0_без ФСК_46EE.2011(v1.0)_46TE.2011(v1.0)" xfId="417"/>
    <cellStyle name="_Расчет RAB_Лен и МОЭСК_с 2010 года_14.04.2009_со сглаж_version 3.0_без ФСК_46EE.2011(v1.0)_INDEX.STATION.2012(v1.0)_" xfId="418"/>
    <cellStyle name="_Расчет RAB_Лен и МОЭСК_с 2010 года_14.04.2009_со сглаж_version 3.0_без ФСК_46EE.2011(v1.0)_INDEX.STATION.2012(v2.0)" xfId="419"/>
    <cellStyle name="_Расчет RAB_Лен и МОЭСК_с 2010 года_14.04.2009_со сглаж_version 3.0_без ФСК_46EE.2011(v1.0)_INDEX.STATION.2012(v2.1)" xfId="420"/>
    <cellStyle name="_Расчет RAB_Лен и МОЭСК_с 2010 года_14.04.2009_со сглаж_version 3.0_без ФСК_46EE.2011(v1.0)_TEPLO.PREDEL.2012.M(v1.1)_test" xfId="421"/>
    <cellStyle name="_Расчет RAB_Лен и МОЭСК_с 2010 года_14.04.2009_со сглаж_version 3.0_без ФСК_46EE.2011(v1.2)" xfId="422"/>
    <cellStyle name="_Расчет RAB_Лен и МОЭСК_с 2010 года_14.04.2009_со сглаж_version 3.0_без ФСК_46EP.2012(v0.1)" xfId="423"/>
    <cellStyle name="_Расчет RAB_Лен и МОЭСК_с 2010 года_14.04.2009_со сглаж_version 3.0_без ФСК_46TE.2011(v1.0)" xfId="424"/>
    <cellStyle name="_Расчет RAB_Лен и МОЭСК_с 2010 года_14.04.2009_со сглаж_version 3.0_без ФСК_ARMRAZR" xfId="425"/>
    <cellStyle name="_Расчет RAB_Лен и МОЭСК_с 2010 года_14.04.2009_со сглаж_version 3.0_без ФСК_BALANCE.WARM.2010.FACT(v1.0)" xfId="426"/>
    <cellStyle name="_Расчет RAB_Лен и МОЭСК_с 2010 года_14.04.2009_со сглаж_version 3.0_без ФСК_BALANCE.WARM.2010.PLAN" xfId="427"/>
    <cellStyle name="_Расчет RAB_Лен и МОЭСК_с 2010 года_14.04.2009_со сглаж_version 3.0_без ФСК_BALANCE.WARM.2011YEAR(v0.7)" xfId="428"/>
    <cellStyle name="_Расчет RAB_Лен и МОЭСК_с 2010 года_14.04.2009_со сглаж_version 3.0_без ФСК_BALANCE.WARM.2011YEAR.NEW.UPDATE.SCHEME" xfId="429"/>
    <cellStyle name="_Расчет RAB_Лен и МОЭСК_с 2010 года_14.04.2009_со сглаж_version 3.0_без ФСК_EE.2REK.P2011.4.78(v0.3)" xfId="430"/>
    <cellStyle name="_Расчет RAB_Лен и МОЭСК_с 2010 года_14.04.2009_со сглаж_version 3.0_без ФСК_FORM910.2012(v1.1)" xfId="431"/>
    <cellStyle name="_Расчет RAB_Лен и МОЭСК_с 2010 года_14.04.2009_со сглаж_version 3.0_без ФСК_INVEST.EE.PLAN.4.78(v0.1)" xfId="432"/>
    <cellStyle name="_Расчет RAB_Лен и МОЭСК_с 2010 года_14.04.2009_со сглаж_version 3.0_без ФСК_INVEST.EE.PLAN.4.78(v0.3)" xfId="433"/>
    <cellStyle name="_Расчет RAB_Лен и МОЭСК_с 2010 года_14.04.2009_со сглаж_version 3.0_без ФСК_INVEST.EE.PLAN.4.78(v1.0)" xfId="434"/>
    <cellStyle name="_Расчет RAB_Лен и МОЭСК_с 2010 года_14.04.2009_со сглаж_version 3.0_без ФСК_INVEST.PLAN.4.78(v0.1)" xfId="435"/>
    <cellStyle name="_Расчет RAB_Лен и МОЭСК_с 2010 года_14.04.2009_со сглаж_version 3.0_без ФСК_INVEST.WARM.PLAN.4.78(v0.1)" xfId="436"/>
    <cellStyle name="_Расчет RAB_Лен и МОЭСК_с 2010 года_14.04.2009_со сглаж_version 3.0_без ФСК_INVEST_WARM_PLAN" xfId="437"/>
    <cellStyle name="_Расчет RAB_Лен и МОЭСК_с 2010 года_14.04.2009_со сглаж_version 3.0_без ФСК_NADB.JNVLS.APTEKA.2011(v1.3.3)" xfId="438"/>
    <cellStyle name="_Расчет RAB_Лен и МОЭСК_с 2010 года_14.04.2009_со сглаж_version 3.0_без ФСК_NADB.JNVLS.APTEKA.2011(v1.3.3)_46TE.2011(v1.0)" xfId="439"/>
    <cellStyle name="_Расчет RAB_Лен и МОЭСК_с 2010 года_14.04.2009_со сглаж_version 3.0_без ФСК_NADB.JNVLS.APTEKA.2011(v1.3.3)_INDEX.STATION.2012(v1.0)_" xfId="440"/>
    <cellStyle name="_Расчет RAB_Лен и МОЭСК_с 2010 года_14.04.2009_со сглаж_version 3.0_без ФСК_NADB.JNVLS.APTEKA.2011(v1.3.3)_INDEX.STATION.2012(v2.0)" xfId="441"/>
    <cellStyle name="_Расчет RAB_Лен и МОЭСК_с 2010 года_14.04.2009_со сглаж_version 3.0_без ФСК_NADB.JNVLS.APTEKA.2011(v1.3.3)_INDEX.STATION.2012(v2.1)" xfId="442"/>
    <cellStyle name="_Расчет RAB_Лен и МОЭСК_с 2010 года_14.04.2009_со сглаж_version 3.0_без ФСК_NADB.JNVLS.APTEKA.2011(v1.3.3)_TEPLO.PREDEL.2012.M(v1.1)_test" xfId="443"/>
    <cellStyle name="_Расчет RAB_Лен и МОЭСК_с 2010 года_14.04.2009_со сглаж_version 3.0_без ФСК_NADB.JNVLS.APTEKA.2011(v1.3.4)" xfId="444"/>
    <cellStyle name="_Расчет RAB_Лен и МОЭСК_с 2010 года_14.04.2009_со сглаж_version 3.0_без ФСК_NADB.JNVLS.APTEKA.2011(v1.3.4)_46TE.2011(v1.0)" xfId="445"/>
    <cellStyle name="_Расчет RAB_Лен и МОЭСК_с 2010 года_14.04.2009_со сглаж_version 3.0_без ФСК_NADB.JNVLS.APTEKA.2011(v1.3.4)_INDEX.STATION.2012(v1.0)_" xfId="446"/>
    <cellStyle name="_Расчет RAB_Лен и МОЭСК_с 2010 года_14.04.2009_со сглаж_version 3.0_без ФСК_NADB.JNVLS.APTEKA.2011(v1.3.4)_INDEX.STATION.2012(v2.0)" xfId="447"/>
    <cellStyle name="_Расчет RAB_Лен и МОЭСК_с 2010 года_14.04.2009_со сглаж_version 3.0_без ФСК_NADB.JNVLS.APTEKA.2011(v1.3.4)_INDEX.STATION.2012(v2.1)" xfId="448"/>
    <cellStyle name="_Расчет RAB_Лен и МОЭСК_с 2010 года_14.04.2009_со сглаж_version 3.0_без ФСК_NADB.JNVLS.APTEKA.2011(v1.3.4)_TEPLO.PREDEL.2012.M(v1.1)_test" xfId="449"/>
    <cellStyle name="_Расчет RAB_Лен и МОЭСК_с 2010 года_14.04.2009_со сглаж_version 3.0_без ФСК_PASSPORT.TEPLO.PROIZV(v2.1)" xfId="450"/>
    <cellStyle name="_Расчет RAB_Лен и МОЭСК_с 2010 года_14.04.2009_со сглаж_version 3.0_без ФСК_PR.PROG.WARM.NOTCOMBI.2012.2.16_v1.4(04.04.11) " xfId="451"/>
    <cellStyle name="_Расчет RAB_Лен и МОЭСК_с 2010 года_14.04.2009_со сглаж_version 3.0_без ФСК_PREDEL.JKH.UTV.2011(v1.0.1)" xfId="452"/>
    <cellStyle name="_Расчет RAB_Лен и МОЭСК_с 2010 года_14.04.2009_со сглаж_version 3.0_без ФСК_PREDEL.JKH.UTV.2011(v1.0.1)_46TE.2011(v1.0)" xfId="453"/>
    <cellStyle name="_Расчет RAB_Лен и МОЭСК_с 2010 года_14.04.2009_со сглаж_version 3.0_без ФСК_PREDEL.JKH.UTV.2011(v1.0.1)_INDEX.STATION.2012(v1.0)_" xfId="454"/>
    <cellStyle name="_Расчет RAB_Лен и МОЭСК_с 2010 года_14.04.2009_со сглаж_version 3.0_без ФСК_PREDEL.JKH.UTV.2011(v1.0.1)_INDEX.STATION.2012(v2.0)" xfId="455"/>
    <cellStyle name="_Расчет RAB_Лен и МОЭСК_с 2010 года_14.04.2009_со сглаж_version 3.0_без ФСК_PREDEL.JKH.UTV.2011(v1.0.1)_INDEX.STATION.2012(v2.1)" xfId="456"/>
    <cellStyle name="_Расчет RAB_Лен и МОЭСК_с 2010 года_14.04.2009_со сглаж_version 3.0_без ФСК_PREDEL.JKH.UTV.2011(v1.0.1)_TEPLO.PREDEL.2012.M(v1.1)_test" xfId="457"/>
    <cellStyle name="_Расчет RAB_Лен и МОЭСК_с 2010 года_14.04.2009_со сглаж_version 3.0_без ФСК_PREDEL.JKH.UTV.2011(v1.1)" xfId="458"/>
    <cellStyle name="_Расчет RAB_Лен и МОЭСК_с 2010 года_14.04.2009_со сглаж_version 3.0_без ФСК_REP.BLR.2012(v1.0)" xfId="459"/>
    <cellStyle name="_Расчет RAB_Лен и МОЭСК_с 2010 года_14.04.2009_со сглаж_version 3.0_без ФСК_TEPLO.PREDEL.2012.M(v1.1)" xfId="460"/>
    <cellStyle name="_Расчет RAB_Лен и МОЭСК_с 2010 года_14.04.2009_со сглаж_version 3.0_без ФСК_TEST.TEMPLATE" xfId="461"/>
    <cellStyle name="_Расчет RAB_Лен и МОЭСК_с 2010 года_14.04.2009_со сглаж_version 3.0_без ФСК_UPDATE.46EE.2011.TO.1.1" xfId="462"/>
    <cellStyle name="_Расчет RAB_Лен и МОЭСК_с 2010 года_14.04.2009_со сглаж_version 3.0_без ФСК_UPDATE.46TE.2011.TO.1.1" xfId="463"/>
    <cellStyle name="_Расчет RAB_Лен и МОЭСК_с 2010 года_14.04.2009_со сглаж_version 3.0_без ФСК_UPDATE.46TE.2011.TO.1.2" xfId="464"/>
    <cellStyle name="_Расчет RAB_Лен и МОЭСК_с 2010 года_14.04.2009_со сглаж_version 3.0_без ФСК_UPDATE.BALANCE.WARM.2011YEAR.TO.1.1" xfId="465"/>
    <cellStyle name="_Расчет RAB_Лен и МОЭСК_с 2010 года_14.04.2009_со сглаж_version 3.0_без ФСК_UPDATE.BALANCE.WARM.2011YEAR.TO.1.1_46TE.2011(v1.0)" xfId="466"/>
    <cellStyle name="_Расчет RAB_Лен и МОЭСК_с 2010 года_14.04.2009_со сглаж_version 3.0_без ФСК_UPDATE.BALANCE.WARM.2011YEAR.TO.1.1_INDEX.STATION.2012(v1.0)_" xfId="467"/>
    <cellStyle name="_Расчет RAB_Лен и МОЭСК_с 2010 года_14.04.2009_со сглаж_version 3.0_без ФСК_UPDATE.BALANCE.WARM.2011YEAR.TO.1.1_INDEX.STATION.2012(v2.0)" xfId="468"/>
    <cellStyle name="_Расчет RAB_Лен и МОЭСК_с 2010 года_14.04.2009_со сглаж_version 3.0_без ФСК_UPDATE.BALANCE.WARM.2011YEAR.TO.1.1_INDEX.STATION.2012(v2.1)" xfId="469"/>
    <cellStyle name="_Расчет RAB_Лен и МОЭСК_с 2010 года_14.04.2009_со сглаж_version 3.0_без ФСК_UPDATE.BALANCE.WARM.2011YEAR.TO.1.1_OREP.KU.2011.MONTHLY.02(v1.1)" xfId="470"/>
    <cellStyle name="_Расчет RAB_Лен и МОЭСК_с 2010 года_14.04.2009_со сглаж_version 3.0_без ФСК_UPDATE.BALANCE.WARM.2011YEAR.TO.1.1_TEPLO.PREDEL.2012.M(v1.1)_test" xfId="471"/>
    <cellStyle name="_Расчет RAB_Лен и МОЭСК_с 2010 года_14.04.2009_со сглаж_version 3.0_без ФСК_UPDATE.NADB.JNVLS.APTEKA.2011.TO.1.3.4" xfId="472"/>
    <cellStyle name="_Расчет RAB_Лен и МОЭСК_с 2010 года_14.04.2009_со сглаж_version 3.0_без ФСК_Книга2_PR.PROG.WARM.NOTCOMBI.2012.2.16_v1.4(04.04.11) " xfId="473"/>
    <cellStyle name="_Сб-macro 2020" xfId="2048"/>
    <cellStyle name="_Свод по ИПР (2)" xfId="474"/>
    <cellStyle name="_Свод по ИПР (2)_Новая инструкция1_фст" xfId="475"/>
    <cellStyle name="_Справочник затрат_ЛХ_20.10.05" xfId="476"/>
    <cellStyle name="_таблицы для расчетов28-04-08_2006-2009_прибыль корр_по ИА" xfId="477"/>
    <cellStyle name="_таблицы для расчетов28-04-08_2006-2009_прибыль корр_по ИА_Новая инструкция1_фст" xfId="478"/>
    <cellStyle name="_таблицы для расчетов28-04-08_2006-2009с ИА" xfId="479"/>
    <cellStyle name="_таблицы для расчетов28-04-08_2006-2009с ИА_Новая инструкция1_фст" xfId="480"/>
    <cellStyle name="_Форма 6  РТК.xls(отчет по Адр пр. ЛО)" xfId="481"/>
    <cellStyle name="_Форма 6  РТК.xls(отчет по Адр пр. ЛО)_Новая инструкция1_фст" xfId="482"/>
    <cellStyle name="_Формат разбивки по МРСК_РСК" xfId="483"/>
    <cellStyle name="_Формат разбивки по МРСК_РСК_Новая инструкция1_фст" xfId="484"/>
    <cellStyle name="_Формат_для Согласования" xfId="485"/>
    <cellStyle name="_Формат_для Согласования_Новая инструкция1_фст" xfId="486"/>
    <cellStyle name="_ХХХ Прил 2 Формы бюджетных документов 2007" xfId="487"/>
    <cellStyle name="_экон.форм-т ВО 1 с разбивкой" xfId="488"/>
    <cellStyle name="_экон.форм-т ВО 1 с разбивкой_Новая инструкция1_фст" xfId="489"/>
    <cellStyle name="’К‰Э [0.00]" xfId="490"/>
    <cellStyle name="”€ќђќ‘ћ‚›‰" xfId="491"/>
    <cellStyle name="”€љ‘€ђћ‚ђќќ›‰" xfId="492"/>
    <cellStyle name="”ќђќ‘ћ‚›‰" xfId="493"/>
    <cellStyle name="”љ‘ђћ‚ђќќ›‰" xfId="494"/>
    <cellStyle name="„…ќ…†ќ›‰" xfId="495"/>
    <cellStyle name="€’ћѓћ‚›‰" xfId="496"/>
    <cellStyle name="‡ђѓћ‹ћ‚ћљ1" xfId="497"/>
    <cellStyle name="‡ђѓћ‹ћ‚ћљ2" xfId="498"/>
    <cellStyle name="’ћѓћ‚›‰" xfId="499"/>
    <cellStyle name="1Normal" xfId="500"/>
    <cellStyle name="20% - Accent1" xfId="501"/>
    <cellStyle name="20% - Accent1 2" xfId="502"/>
    <cellStyle name="20% - Accent1 3" xfId="503"/>
    <cellStyle name="20% - Accent1_46EE.2011(v1.0)" xfId="504"/>
    <cellStyle name="20% - Accent2" xfId="505"/>
    <cellStyle name="20% - Accent2 2" xfId="506"/>
    <cellStyle name="20% - Accent2 3" xfId="507"/>
    <cellStyle name="20% - Accent2_46EE.2011(v1.0)" xfId="508"/>
    <cellStyle name="20% - Accent3" xfId="509"/>
    <cellStyle name="20% - Accent3 2" xfId="510"/>
    <cellStyle name="20% - Accent3 3" xfId="511"/>
    <cellStyle name="20% - Accent3_46EE.2011(v1.0)" xfId="512"/>
    <cellStyle name="20% - Accent4" xfId="513"/>
    <cellStyle name="20% - Accent4 2" xfId="514"/>
    <cellStyle name="20% - Accent4 3" xfId="515"/>
    <cellStyle name="20% - Accent4_46EE.2011(v1.0)" xfId="516"/>
    <cellStyle name="20% - Accent5" xfId="517"/>
    <cellStyle name="20% - Accent5 2" xfId="518"/>
    <cellStyle name="20% - Accent5 3" xfId="519"/>
    <cellStyle name="20% - Accent5_46EE.2011(v1.0)" xfId="520"/>
    <cellStyle name="20% - Accent6" xfId="521"/>
    <cellStyle name="20% - Accent6 2" xfId="522"/>
    <cellStyle name="20% - Accent6 3" xfId="523"/>
    <cellStyle name="20% - Accent6_46EE.2011(v1.0)" xfId="524"/>
    <cellStyle name="20% - Акцент1 10" xfId="525"/>
    <cellStyle name="20% - Акцент1 2" xfId="526"/>
    <cellStyle name="20% - Акцент1 2 2" xfId="527"/>
    <cellStyle name="20% - Акцент1 2 3" xfId="528"/>
    <cellStyle name="20% - Акцент1 2_46EE.2011(v1.0)" xfId="529"/>
    <cellStyle name="20% - Акцент1 3" xfId="530"/>
    <cellStyle name="20% - Акцент1 3 2" xfId="531"/>
    <cellStyle name="20% - Акцент1 3 3" xfId="532"/>
    <cellStyle name="20% - Акцент1 3_46EE.2011(v1.0)" xfId="533"/>
    <cellStyle name="20% - Акцент1 4" xfId="534"/>
    <cellStyle name="20% - Акцент1 4 2" xfId="535"/>
    <cellStyle name="20% - Акцент1 4 3" xfId="536"/>
    <cellStyle name="20% - Акцент1 4_46EE.2011(v1.0)" xfId="537"/>
    <cellStyle name="20% - Акцент1 5" xfId="538"/>
    <cellStyle name="20% - Акцент1 5 2" xfId="539"/>
    <cellStyle name="20% - Акцент1 5 3" xfId="540"/>
    <cellStyle name="20% - Акцент1 5_46EE.2011(v1.0)" xfId="541"/>
    <cellStyle name="20% - Акцент1 6" xfId="542"/>
    <cellStyle name="20% - Акцент1 6 2" xfId="543"/>
    <cellStyle name="20% - Акцент1 6 3" xfId="544"/>
    <cellStyle name="20% - Акцент1 6_46EE.2011(v1.0)" xfId="545"/>
    <cellStyle name="20% - Акцент1 7" xfId="546"/>
    <cellStyle name="20% - Акцент1 7 2" xfId="547"/>
    <cellStyle name="20% - Акцент1 7 3" xfId="548"/>
    <cellStyle name="20% - Акцент1 7_46EE.2011(v1.0)" xfId="549"/>
    <cellStyle name="20% - Акцент1 8" xfId="550"/>
    <cellStyle name="20% - Акцент1 8 2" xfId="551"/>
    <cellStyle name="20% - Акцент1 8 3" xfId="552"/>
    <cellStyle name="20% - Акцент1 8_46EE.2011(v1.0)" xfId="553"/>
    <cellStyle name="20% - Акцент1 9" xfId="554"/>
    <cellStyle name="20% - Акцент1 9 2" xfId="555"/>
    <cellStyle name="20% - Акцент1 9 3" xfId="556"/>
    <cellStyle name="20% - Акцент1 9_46EE.2011(v1.0)" xfId="557"/>
    <cellStyle name="20% - Акцент2 10" xfId="558"/>
    <cellStyle name="20% - Акцент2 2" xfId="559"/>
    <cellStyle name="20% - Акцент2 2 2" xfId="560"/>
    <cellStyle name="20% - Акцент2 2 3" xfId="561"/>
    <cellStyle name="20% - Акцент2 2_46EE.2011(v1.0)" xfId="562"/>
    <cellStyle name="20% - Акцент2 3" xfId="563"/>
    <cellStyle name="20% - Акцент2 3 2" xfId="564"/>
    <cellStyle name="20% - Акцент2 3 3" xfId="565"/>
    <cellStyle name="20% - Акцент2 3_46EE.2011(v1.0)" xfId="566"/>
    <cellStyle name="20% - Акцент2 4" xfId="567"/>
    <cellStyle name="20% - Акцент2 4 2" xfId="568"/>
    <cellStyle name="20% - Акцент2 4 3" xfId="569"/>
    <cellStyle name="20% - Акцент2 4_46EE.2011(v1.0)" xfId="570"/>
    <cellStyle name="20% - Акцент2 5" xfId="571"/>
    <cellStyle name="20% - Акцент2 5 2" xfId="572"/>
    <cellStyle name="20% - Акцент2 5 3" xfId="573"/>
    <cellStyle name="20% - Акцент2 5_46EE.2011(v1.0)" xfId="574"/>
    <cellStyle name="20% - Акцент2 6" xfId="575"/>
    <cellStyle name="20% - Акцент2 6 2" xfId="576"/>
    <cellStyle name="20% - Акцент2 6 3" xfId="577"/>
    <cellStyle name="20% - Акцент2 6_46EE.2011(v1.0)" xfId="578"/>
    <cellStyle name="20% - Акцент2 7" xfId="579"/>
    <cellStyle name="20% - Акцент2 7 2" xfId="580"/>
    <cellStyle name="20% - Акцент2 7 3" xfId="581"/>
    <cellStyle name="20% - Акцент2 7_46EE.2011(v1.0)" xfId="582"/>
    <cellStyle name="20% - Акцент2 8" xfId="583"/>
    <cellStyle name="20% - Акцент2 8 2" xfId="584"/>
    <cellStyle name="20% - Акцент2 8 3" xfId="585"/>
    <cellStyle name="20% - Акцент2 8_46EE.2011(v1.0)" xfId="586"/>
    <cellStyle name="20% - Акцент2 9" xfId="587"/>
    <cellStyle name="20% - Акцент2 9 2" xfId="588"/>
    <cellStyle name="20% - Акцент2 9 3" xfId="589"/>
    <cellStyle name="20% - Акцент2 9_46EE.2011(v1.0)" xfId="590"/>
    <cellStyle name="20% - Акцент3 10" xfId="591"/>
    <cellStyle name="20% - Акцент3 2" xfId="592"/>
    <cellStyle name="20% - Акцент3 2 2" xfId="593"/>
    <cellStyle name="20% - Акцент3 2 3" xfId="594"/>
    <cellStyle name="20% - Акцент3 2_46EE.2011(v1.0)" xfId="595"/>
    <cellStyle name="20% - Акцент3 3" xfId="596"/>
    <cellStyle name="20% - Акцент3 3 2" xfId="597"/>
    <cellStyle name="20% - Акцент3 3 3" xfId="598"/>
    <cellStyle name="20% - Акцент3 3_46EE.2011(v1.0)" xfId="599"/>
    <cellStyle name="20% - Акцент3 4" xfId="600"/>
    <cellStyle name="20% - Акцент3 4 2" xfId="601"/>
    <cellStyle name="20% - Акцент3 4 3" xfId="602"/>
    <cellStyle name="20% - Акцент3 4_46EE.2011(v1.0)" xfId="603"/>
    <cellStyle name="20% - Акцент3 5" xfId="604"/>
    <cellStyle name="20% - Акцент3 5 2" xfId="605"/>
    <cellStyle name="20% - Акцент3 5 3" xfId="606"/>
    <cellStyle name="20% - Акцент3 5_46EE.2011(v1.0)" xfId="607"/>
    <cellStyle name="20% - Акцент3 6" xfId="608"/>
    <cellStyle name="20% - Акцент3 6 2" xfId="609"/>
    <cellStyle name="20% - Акцент3 6 3" xfId="610"/>
    <cellStyle name="20% - Акцент3 6_46EE.2011(v1.0)" xfId="611"/>
    <cellStyle name="20% - Акцент3 7" xfId="612"/>
    <cellStyle name="20% - Акцент3 7 2" xfId="613"/>
    <cellStyle name="20% - Акцент3 7 3" xfId="614"/>
    <cellStyle name="20% - Акцент3 7_46EE.2011(v1.0)" xfId="615"/>
    <cellStyle name="20% - Акцент3 8" xfId="616"/>
    <cellStyle name="20% - Акцент3 8 2" xfId="617"/>
    <cellStyle name="20% - Акцент3 8 3" xfId="618"/>
    <cellStyle name="20% - Акцент3 8_46EE.2011(v1.0)" xfId="619"/>
    <cellStyle name="20% - Акцент3 9" xfId="620"/>
    <cellStyle name="20% - Акцент3 9 2" xfId="621"/>
    <cellStyle name="20% - Акцент3 9 3" xfId="622"/>
    <cellStyle name="20% - Акцент3 9_46EE.2011(v1.0)" xfId="623"/>
    <cellStyle name="20% - Акцент4 10" xfId="624"/>
    <cellStyle name="20% - Акцент4 2" xfId="625"/>
    <cellStyle name="20% - Акцент4 2 2" xfId="626"/>
    <cellStyle name="20% - Акцент4 2 3" xfId="627"/>
    <cellStyle name="20% - Акцент4 2_46EE.2011(v1.0)" xfId="628"/>
    <cellStyle name="20% - Акцент4 3" xfId="629"/>
    <cellStyle name="20% - Акцент4 3 2" xfId="630"/>
    <cellStyle name="20% - Акцент4 3 3" xfId="631"/>
    <cellStyle name="20% - Акцент4 3_46EE.2011(v1.0)" xfId="632"/>
    <cellStyle name="20% - Акцент4 4" xfId="633"/>
    <cellStyle name="20% - Акцент4 4 2" xfId="634"/>
    <cellStyle name="20% - Акцент4 4 3" xfId="635"/>
    <cellStyle name="20% - Акцент4 4_46EE.2011(v1.0)" xfId="636"/>
    <cellStyle name="20% - Акцент4 5" xfId="637"/>
    <cellStyle name="20% - Акцент4 5 2" xfId="638"/>
    <cellStyle name="20% - Акцент4 5 3" xfId="639"/>
    <cellStyle name="20% - Акцент4 5_46EE.2011(v1.0)" xfId="640"/>
    <cellStyle name="20% - Акцент4 6" xfId="641"/>
    <cellStyle name="20% - Акцент4 6 2" xfId="642"/>
    <cellStyle name="20% - Акцент4 6 3" xfId="643"/>
    <cellStyle name="20% - Акцент4 6_46EE.2011(v1.0)" xfId="644"/>
    <cellStyle name="20% - Акцент4 7" xfId="645"/>
    <cellStyle name="20% - Акцент4 7 2" xfId="646"/>
    <cellStyle name="20% - Акцент4 7 3" xfId="647"/>
    <cellStyle name="20% - Акцент4 7_46EE.2011(v1.0)" xfId="648"/>
    <cellStyle name="20% - Акцент4 8" xfId="649"/>
    <cellStyle name="20% - Акцент4 8 2" xfId="650"/>
    <cellStyle name="20% - Акцент4 8 3" xfId="651"/>
    <cellStyle name="20% - Акцент4 8_46EE.2011(v1.0)" xfId="652"/>
    <cellStyle name="20% - Акцент4 9" xfId="653"/>
    <cellStyle name="20% - Акцент4 9 2" xfId="654"/>
    <cellStyle name="20% - Акцент4 9 3" xfId="655"/>
    <cellStyle name="20% - Акцент4 9_46EE.2011(v1.0)" xfId="656"/>
    <cellStyle name="20% - Акцент5 10" xfId="657"/>
    <cellStyle name="20% - Акцент5 2" xfId="658"/>
    <cellStyle name="20% - Акцент5 2 2" xfId="659"/>
    <cellStyle name="20% - Акцент5 2 3" xfId="660"/>
    <cellStyle name="20% - Акцент5 2_46EE.2011(v1.0)" xfId="661"/>
    <cellStyle name="20% - Акцент5 3" xfId="662"/>
    <cellStyle name="20% - Акцент5 3 2" xfId="663"/>
    <cellStyle name="20% - Акцент5 3 3" xfId="664"/>
    <cellStyle name="20% - Акцент5 3_46EE.2011(v1.0)" xfId="665"/>
    <cellStyle name="20% - Акцент5 4" xfId="666"/>
    <cellStyle name="20% - Акцент5 4 2" xfId="667"/>
    <cellStyle name="20% - Акцент5 4 3" xfId="668"/>
    <cellStyle name="20% - Акцент5 4_46EE.2011(v1.0)" xfId="669"/>
    <cellStyle name="20% - Акцент5 5" xfId="670"/>
    <cellStyle name="20% - Акцент5 5 2" xfId="671"/>
    <cellStyle name="20% - Акцент5 5 3" xfId="672"/>
    <cellStyle name="20% - Акцент5 5_46EE.2011(v1.0)" xfId="673"/>
    <cellStyle name="20% - Акцент5 6" xfId="674"/>
    <cellStyle name="20% - Акцент5 6 2" xfId="675"/>
    <cellStyle name="20% - Акцент5 6 3" xfId="676"/>
    <cellStyle name="20% - Акцент5 6_46EE.2011(v1.0)" xfId="677"/>
    <cellStyle name="20% - Акцент5 7" xfId="678"/>
    <cellStyle name="20% - Акцент5 7 2" xfId="679"/>
    <cellStyle name="20% - Акцент5 7 3" xfId="680"/>
    <cellStyle name="20% - Акцент5 7_46EE.2011(v1.0)" xfId="681"/>
    <cellStyle name="20% - Акцент5 8" xfId="682"/>
    <cellStyle name="20% - Акцент5 8 2" xfId="683"/>
    <cellStyle name="20% - Акцент5 8 3" xfId="684"/>
    <cellStyle name="20% - Акцент5 8_46EE.2011(v1.0)" xfId="685"/>
    <cellStyle name="20% - Акцент5 9" xfId="686"/>
    <cellStyle name="20% - Акцент5 9 2" xfId="687"/>
    <cellStyle name="20% - Акцент5 9 3" xfId="688"/>
    <cellStyle name="20% - Акцент5 9_46EE.2011(v1.0)" xfId="689"/>
    <cellStyle name="20% - Акцент6 10" xfId="690"/>
    <cellStyle name="20% - Акцент6 2" xfId="691"/>
    <cellStyle name="20% - Акцент6 2 2" xfId="692"/>
    <cellStyle name="20% - Акцент6 2 3" xfId="693"/>
    <cellStyle name="20% - Акцент6 2_46EE.2011(v1.0)" xfId="694"/>
    <cellStyle name="20% - Акцент6 3" xfId="695"/>
    <cellStyle name="20% - Акцент6 3 2" xfId="696"/>
    <cellStyle name="20% - Акцент6 3 3" xfId="697"/>
    <cellStyle name="20% - Акцент6 3_46EE.2011(v1.0)" xfId="698"/>
    <cellStyle name="20% - Акцент6 4" xfId="699"/>
    <cellStyle name="20% - Акцент6 4 2" xfId="700"/>
    <cellStyle name="20% - Акцент6 4 3" xfId="701"/>
    <cellStyle name="20% - Акцент6 4_46EE.2011(v1.0)" xfId="702"/>
    <cellStyle name="20% - Акцент6 5" xfId="703"/>
    <cellStyle name="20% - Акцент6 5 2" xfId="704"/>
    <cellStyle name="20% - Акцент6 5 3" xfId="705"/>
    <cellStyle name="20% - Акцент6 5_46EE.2011(v1.0)" xfId="706"/>
    <cellStyle name="20% - Акцент6 6" xfId="707"/>
    <cellStyle name="20% - Акцент6 6 2" xfId="708"/>
    <cellStyle name="20% - Акцент6 6 3" xfId="709"/>
    <cellStyle name="20% - Акцент6 6_46EE.2011(v1.0)" xfId="710"/>
    <cellStyle name="20% - Акцент6 7" xfId="711"/>
    <cellStyle name="20% - Акцент6 7 2" xfId="712"/>
    <cellStyle name="20% - Акцент6 7 3" xfId="713"/>
    <cellStyle name="20% - Акцент6 7_46EE.2011(v1.0)" xfId="714"/>
    <cellStyle name="20% - Акцент6 8" xfId="715"/>
    <cellStyle name="20% - Акцент6 8 2" xfId="716"/>
    <cellStyle name="20% - Акцент6 8 3" xfId="717"/>
    <cellStyle name="20% - Акцент6 8_46EE.2011(v1.0)" xfId="718"/>
    <cellStyle name="20% - Акцент6 9" xfId="719"/>
    <cellStyle name="20% - Акцент6 9 2" xfId="720"/>
    <cellStyle name="20% - Акцент6 9 3" xfId="721"/>
    <cellStyle name="20% - Акцент6 9_46EE.2011(v1.0)" xfId="722"/>
    <cellStyle name="40% - Accent1" xfId="723"/>
    <cellStyle name="40% - Accent1 2" xfId="724"/>
    <cellStyle name="40% - Accent1 3" xfId="725"/>
    <cellStyle name="40% - Accent1_46EE.2011(v1.0)" xfId="726"/>
    <cellStyle name="40% - Accent2" xfId="727"/>
    <cellStyle name="40% - Accent2 2" xfId="728"/>
    <cellStyle name="40% - Accent2 3" xfId="729"/>
    <cellStyle name="40% - Accent2_46EE.2011(v1.0)" xfId="730"/>
    <cellStyle name="40% - Accent3" xfId="731"/>
    <cellStyle name="40% - Accent3 2" xfId="732"/>
    <cellStyle name="40% - Accent3 3" xfId="733"/>
    <cellStyle name="40% - Accent3_46EE.2011(v1.0)" xfId="734"/>
    <cellStyle name="40% - Accent4" xfId="735"/>
    <cellStyle name="40% - Accent4 2" xfId="736"/>
    <cellStyle name="40% - Accent4 3" xfId="737"/>
    <cellStyle name="40% - Accent4_46EE.2011(v1.0)" xfId="738"/>
    <cellStyle name="40% - Accent5" xfId="739"/>
    <cellStyle name="40% - Accent5 2" xfId="740"/>
    <cellStyle name="40% - Accent5 3" xfId="741"/>
    <cellStyle name="40% - Accent5_46EE.2011(v1.0)" xfId="742"/>
    <cellStyle name="40% - Accent6" xfId="743"/>
    <cellStyle name="40% - Accent6 2" xfId="744"/>
    <cellStyle name="40% - Accent6 3" xfId="745"/>
    <cellStyle name="40% - Accent6_46EE.2011(v1.0)" xfId="746"/>
    <cellStyle name="40% - Акцент1 10" xfId="747"/>
    <cellStyle name="40% - Акцент1 2" xfId="748"/>
    <cellStyle name="40% - Акцент1 2 2" xfId="749"/>
    <cellStyle name="40% - Акцент1 2 3" xfId="750"/>
    <cellStyle name="40% - Акцент1 2_46EE.2011(v1.0)" xfId="751"/>
    <cellStyle name="40% - Акцент1 3" xfId="752"/>
    <cellStyle name="40% - Акцент1 3 2" xfId="753"/>
    <cellStyle name="40% - Акцент1 3 3" xfId="754"/>
    <cellStyle name="40% - Акцент1 3_46EE.2011(v1.0)" xfId="755"/>
    <cellStyle name="40% - Акцент1 4" xfId="756"/>
    <cellStyle name="40% - Акцент1 4 2" xfId="757"/>
    <cellStyle name="40% - Акцент1 4 3" xfId="758"/>
    <cellStyle name="40% - Акцент1 4_46EE.2011(v1.0)" xfId="759"/>
    <cellStyle name="40% - Акцент1 5" xfId="760"/>
    <cellStyle name="40% - Акцент1 5 2" xfId="761"/>
    <cellStyle name="40% - Акцент1 5 3" xfId="762"/>
    <cellStyle name="40% - Акцент1 5_46EE.2011(v1.0)" xfId="763"/>
    <cellStyle name="40% - Акцент1 6" xfId="764"/>
    <cellStyle name="40% - Акцент1 6 2" xfId="765"/>
    <cellStyle name="40% - Акцент1 6 3" xfId="766"/>
    <cellStyle name="40% - Акцент1 6_46EE.2011(v1.0)" xfId="767"/>
    <cellStyle name="40% - Акцент1 7" xfId="768"/>
    <cellStyle name="40% - Акцент1 7 2" xfId="769"/>
    <cellStyle name="40% - Акцент1 7 3" xfId="770"/>
    <cellStyle name="40% - Акцент1 7_46EE.2011(v1.0)" xfId="771"/>
    <cellStyle name="40% - Акцент1 8" xfId="772"/>
    <cellStyle name="40% - Акцент1 8 2" xfId="773"/>
    <cellStyle name="40% - Акцент1 8 3" xfId="774"/>
    <cellStyle name="40% - Акцент1 8_46EE.2011(v1.0)" xfId="775"/>
    <cellStyle name="40% - Акцент1 9" xfId="776"/>
    <cellStyle name="40% - Акцент1 9 2" xfId="777"/>
    <cellStyle name="40% - Акцент1 9 3" xfId="778"/>
    <cellStyle name="40% - Акцент1 9_46EE.2011(v1.0)" xfId="779"/>
    <cellStyle name="40% - Акцент2 10" xfId="780"/>
    <cellStyle name="40% - Акцент2 2" xfId="781"/>
    <cellStyle name="40% - Акцент2 2 2" xfId="782"/>
    <cellStyle name="40% - Акцент2 2 3" xfId="783"/>
    <cellStyle name="40% - Акцент2 2_46EE.2011(v1.0)" xfId="784"/>
    <cellStyle name="40% - Акцент2 3" xfId="785"/>
    <cellStyle name="40% - Акцент2 3 2" xfId="786"/>
    <cellStyle name="40% - Акцент2 3 3" xfId="787"/>
    <cellStyle name="40% - Акцент2 3_46EE.2011(v1.0)" xfId="788"/>
    <cellStyle name="40% - Акцент2 4" xfId="789"/>
    <cellStyle name="40% - Акцент2 4 2" xfId="790"/>
    <cellStyle name="40% - Акцент2 4 3" xfId="791"/>
    <cellStyle name="40% - Акцент2 4_46EE.2011(v1.0)" xfId="792"/>
    <cellStyle name="40% - Акцент2 5" xfId="793"/>
    <cellStyle name="40% - Акцент2 5 2" xfId="794"/>
    <cellStyle name="40% - Акцент2 5 3" xfId="795"/>
    <cellStyle name="40% - Акцент2 5_46EE.2011(v1.0)" xfId="796"/>
    <cellStyle name="40% - Акцент2 6" xfId="797"/>
    <cellStyle name="40% - Акцент2 6 2" xfId="798"/>
    <cellStyle name="40% - Акцент2 6 3" xfId="799"/>
    <cellStyle name="40% - Акцент2 6_46EE.2011(v1.0)" xfId="800"/>
    <cellStyle name="40% - Акцент2 7" xfId="801"/>
    <cellStyle name="40% - Акцент2 7 2" xfId="802"/>
    <cellStyle name="40% - Акцент2 7 3" xfId="803"/>
    <cellStyle name="40% - Акцент2 7_46EE.2011(v1.0)" xfId="804"/>
    <cellStyle name="40% - Акцент2 8" xfId="805"/>
    <cellStyle name="40% - Акцент2 8 2" xfId="806"/>
    <cellStyle name="40% - Акцент2 8 3" xfId="807"/>
    <cellStyle name="40% - Акцент2 8_46EE.2011(v1.0)" xfId="808"/>
    <cellStyle name="40% - Акцент2 9" xfId="809"/>
    <cellStyle name="40% - Акцент2 9 2" xfId="810"/>
    <cellStyle name="40% - Акцент2 9 3" xfId="811"/>
    <cellStyle name="40% - Акцент2 9_46EE.2011(v1.0)" xfId="812"/>
    <cellStyle name="40% - Акцент3 10" xfId="813"/>
    <cellStyle name="40% - Акцент3 2" xfId="814"/>
    <cellStyle name="40% - Акцент3 2 2" xfId="815"/>
    <cellStyle name="40% - Акцент3 2 3" xfId="816"/>
    <cellStyle name="40% - Акцент3 2_46EE.2011(v1.0)" xfId="817"/>
    <cellStyle name="40% - Акцент3 3" xfId="818"/>
    <cellStyle name="40% - Акцент3 3 2" xfId="819"/>
    <cellStyle name="40% - Акцент3 3 3" xfId="820"/>
    <cellStyle name="40% - Акцент3 3_46EE.2011(v1.0)" xfId="821"/>
    <cellStyle name="40% - Акцент3 4" xfId="822"/>
    <cellStyle name="40% - Акцент3 4 2" xfId="823"/>
    <cellStyle name="40% - Акцент3 4 3" xfId="824"/>
    <cellStyle name="40% - Акцент3 4_46EE.2011(v1.0)" xfId="825"/>
    <cellStyle name="40% - Акцент3 5" xfId="826"/>
    <cellStyle name="40% - Акцент3 5 2" xfId="827"/>
    <cellStyle name="40% - Акцент3 5 3" xfId="828"/>
    <cellStyle name="40% - Акцент3 5_46EE.2011(v1.0)" xfId="829"/>
    <cellStyle name="40% - Акцент3 6" xfId="830"/>
    <cellStyle name="40% - Акцент3 6 2" xfId="831"/>
    <cellStyle name="40% - Акцент3 6 3" xfId="832"/>
    <cellStyle name="40% - Акцент3 6_46EE.2011(v1.0)" xfId="833"/>
    <cellStyle name="40% - Акцент3 7" xfId="834"/>
    <cellStyle name="40% - Акцент3 7 2" xfId="835"/>
    <cellStyle name="40% - Акцент3 7 3" xfId="836"/>
    <cellStyle name="40% - Акцент3 7_46EE.2011(v1.0)" xfId="837"/>
    <cellStyle name="40% - Акцент3 8" xfId="838"/>
    <cellStyle name="40% - Акцент3 8 2" xfId="839"/>
    <cellStyle name="40% - Акцент3 8 3" xfId="840"/>
    <cellStyle name="40% - Акцент3 8_46EE.2011(v1.0)" xfId="841"/>
    <cellStyle name="40% - Акцент3 9" xfId="842"/>
    <cellStyle name="40% - Акцент3 9 2" xfId="843"/>
    <cellStyle name="40% - Акцент3 9 3" xfId="844"/>
    <cellStyle name="40% - Акцент3 9_46EE.2011(v1.0)" xfId="845"/>
    <cellStyle name="40% - Акцент4 10" xfId="846"/>
    <cellStyle name="40% - Акцент4 2" xfId="847"/>
    <cellStyle name="40% - Акцент4 2 2" xfId="848"/>
    <cellStyle name="40% - Акцент4 2 3" xfId="849"/>
    <cellStyle name="40% - Акцент4 2_46EE.2011(v1.0)" xfId="850"/>
    <cellStyle name="40% - Акцент4 3" xfId="851"/>
    <cellStyle name="40% - Акцент4 3 2" xfId="852"/>
    <cellStyle name="40% - Акцент4 3 3" xfId="853"/>
    <cellStyle name="40% - Акцент4 3_46EE.2011(v1.0)" xfId="854"/>
    <cellStyle name="40% - Акцент4 4" xfId="855"/>
    <cellStyle name="40% - Акцент4 4 2" xfId="856"/>
    <cellStyle name="40% - Акцент4 4 3" xfId="857"/>
    <cellStyle name="40% - Акцент4 4_46EE.2011(v1.0)" xfId="858"/>
    <cellStyle name="40% - Акцент4 5" xfId="859"/>
    <cellStyle name="40% - Акцент4 5 2" xfId="860"/>
    <cellStyle name="40% - Акцент4 5 3" xfId="861"/>
    <cellStyle name="40% - Акцент4 5_46EE.2011(v1.0)" xfId="862"/>
    <cellStyle name="40% - Акцент4 6" xfId="863"/>
    <cellStyle name="40% - Акцент4 6 2" xfId="864"/>
    <cellStyle name="40% - Акцент4 6 3" xfId="865"/>
    <cellStyle name="40% - Акцент4 6_46EE.2011(v1.0)" xfId="866"/>
    <cellStyle name="40% - Акцент4 7" xfId="867"/>
    <cellStyle name="40% - Акцент4 7 2" xfId="868"/>
    <cellStyle name="40% - Акцент4 7 3" xfId="869"/>
    <cellStyle name="40% - Акцент4 7_46EE.2011(v1.0)" xfId="870"/>
    <cellStyle name="40% - Акцент4 8" xfId="871"/>
    <cellStyle name="40% - Акцент4 8 2" xfId="872"/>
    <cellStyle name="40% - Акцент4 8 3" xfId="873"/>
    <cellStyle name="40% - Акцент4 8_46EE.2011(v1.0)" xfId="874"/>
    <cellStyle name="40% - Акцент4 9" xfId="875"/>
    <cellStyle name="40% - Акцент4 9 2" xfId="876"/>
    <cellStyle name="40% - Акцент4 9 3" xfId="877"/>
    <cellStyle name="40% - Акцент4 9_46EE.2011(v1.0)" xfId="878"/>
    <cellStyle name="40% - Акцент5 10" xfId="879"/>
    <cellStyle name="40% - Акцент5 2" xfId="880"/>
    <cellStyle name="40% - Акцент5 2 2" xfId="881"/>
    <cellStyle name="40% - Акцент5 2 3" xfId="882"/>
    <cellStyle name="40% - Акцент5 2_46EE.2011(v1.0)" xfId="883"/>
    <cellStyle name="40% - Акцент5 3" xfId="884"/>
    <cellStyle name="40% - Акцент5 3 2" xfId="885"/>
    <cellStyle name="40% - Акцент5 3 3" xfId="886"/>
    <cellStyle name="40% - Акцент5 3_46EE.2011(v1.0)" xfId="887"/>
    <cellStyle name="40% - Акцент5 4" xfId="888"/>
    <cellStyle name="40% - Акцент5 4 2" xfId="889"/>
    <cellStyle name="40% - Акцент5 4 3" xfId="890"/>
    <cellStyle name="40% - Акцент5 4_46EE.2011(v1.0)" xfId="891"/>
    <cellStyle name="40% - Акцент5 5" xfId="892"/>
    <cellStyle name="40% - Акцент5 5 2" xfId="893"/>
    <cellStyle name="40% - Акцент5 5 3" xfId="894"/>
    <cellStyle name="40% - Акцент5 5_46EE.2011(v1.0)" xfId="895"/>
    <cellStyle name="40% - Акцент5 6" xfId="896"/>
    <cellStyle name="40% - Акцент5 6 2" xfId="897"/>
    <cellStyle name="40% - Акцент5 6 3" xfId="898"/>
    <cellStyle name="40% - Акцент5 6_46EE.2011(v1.0)" xfId="899"/>
    <cellStyle name="40% - Акцент5 7" xfId="900"/>
    <cellStyle name="40% - Акцент5 7 2" xfId="901"/>
    <cellStyle name="40% - Акцент5 7 3" xfId="902"/>
    <cellStyle name="40% - Акцент5 7_46EE.2011(v1.0)" xfId="903"/>
    <cellStyle name="40% - Акцент5 8" xfId="904"/>
    <cellStyle name="40% - Акцент5 8 2" xfId="905"/>
    <cellStyle name="40% - Акцент5 8 3" xfId="906"/>
    <cellStyle name="40% - Акцент5 8_46EE.2011(v1.0)" xfId="907"/>
    <cellStyle name="40% - Акцент5 9" xfId="908"/>
    <cellStyle name="40% - Акцент5 9 2" xfId="909"/>
    <cellStyle name="40% - Акцент5 9 3" xfId="910"/>
    <cellStyle name="40% - Акцент5 9_46EE.2011(v1.0)" xfId="911"/>
    <cellStyle name="40% - Акцент6 10" xfId="912"/>
    <cellStyle name="40% - Акцент6 2" xfId="913"/>
    <cellStyle name="40% - Акцент6 2 2" xfId="914"/>
    <cellStyle name="40% - Акцент6 2 3" xfId="915"/>
    <cellStyle name="40% - Акцент6 2_46EE.2011(v1.0)" xfId="916"/>
    <cellStyle name="40% - Акцент6 3" xfId="917"/>
    <cellStyle name="40% - Акцент6 3 2" xfId="918"/>
    <cellStyle name="40% - Акцент6 3 3" xfId="919"/>
    <cellStyle name="40% - Акцент6 3_46EE.2011(v1.0)" xfId="920"/>
    <cellStyle name="40% - Акцент6 4" xfId="921"/>
    <cellStyle name="40% - Акцент6 4 2" xfId="922"/>
    <cellStyle name="40% - Акцент6 4 3" xfId="923"/>
    <cellStyle name="40% - Акцент6 4_46EE.2011(v1.0)" xfId="924"/>
    <cellStyle name="40% - Акцент6 5" xfId="925"/>
    <cellStyle name="40% - Акцент6 5 2" xfId="926"/>
    <cellStyle name="40% - Акцент6 5 3" xfId="927"/>
    <cellStyle name="40% - Акцент6 5_46EE.2011(v1.0)" xfId="928"/>
    <cellStyle name="40% - Акцент6 6" xfId="929"/>
    <cellStyle name="40% - Акцент6 6 2" xfId="930"/>
    <cellStyle name="40% - Акцент6 6 3" xfId="931"/>
    <cellStyle name="40% - Акцент6 6_46EE.2011(v1.0)" xfId="932"/>
    <cellStyle name="40% - Акцент6 7" xfId="933"/>
    <cellStyle name="40% - Акцент6 7 2" xfId="934"/>
    <cellStyle name="40% - Акцент6 7 3" xfId="935"/>
    <cellStyle name="40% - Акцент6 7_46EE.2011(v1.0)" xfId="936"/>
    <cellStyle name="40% - Акцент6 8" xfId="937"/>
    <cellStyle name="40% - Акцент6 8 2" xfId="938"/>
    <cellStyle name="40% - Акцент6 8 3" xfId="939"/>
    <cellStyle name="40% - Акцент6 8_46EE.2011(v1.0)" xfId="940"/>
    <cellStyle name="40% - Акцент6 9" xfId="941"/>
    <cellStyle name="40% - Акцент6 9 2" xfId="942"/>
    <cellStyle name="40% - Акцент6 9 3" xfId="943"/>
    <cellStyle name="40% - Акцент6 9_46EE.2011(v1.0)" xfId="944"/>
    <cellStyle name="60% - Accent1" xfId="945"/>
    <cellStyle name="60% - Accent2" xfId="946"/>
    <cellStyle name="60% - Accent3" xfId="947"/>
    <cellStyle name="60% - Accent4" xfId="948"/>
    <cellStyle name="60% - Accent5" xfId="949"/>
    <cellStyle name="60% - Accent6" xfId="950"/>
    <cellStyle name="60% - Акцент1 2" xfId="951"/>
    <cellStyle name="60% - Акцент1 2 2" xfId="952"/>
    <cellStyle name="60% - Акцент1 3" xfId="953"/>
    <cellStyle name="60% - Акцент1 3 2" xfId="954"/>
    <cellStyle name="60% - Акцент1 4" xfId="955"/>
    <cellStyle name="60% - Акцент1 4 2" xfId="956"/>
    <cellStyle name="60% - Акцент1 5" xfId="957"/>
    <cellStyle name="60% - Акцент1 5 2" xfId="958"/>
    <cellStyle name="60% - Акцент1 6" xfId="959"/>
    <cellStyle name="60% - Акцент1 6 2" xfId="960"/>
    <cellStyle name="60% - Акцент1 7" xfId="961"/>
    <cellStyle name="60% - Акцент1 7 2" xfId="962"/>
    <cellStyle name="60% - Акцент1 8" xfId="963"/>
    <cellStyle name="60% - Акцент1 8 2" xfId="964"/>
    <cellStyle name="60% - Акцент1 9" xfId="965"/>
    <cellStyle name="60% - Акцент1 9 2" xfId="966"/>
    <cellStyle name="60% - Акцент2 2" xfId="967"/>
    <cellStyle name="60% - Акцент2 2 2" xfId="968"/>
    <cellStyle name="60% - Акцент2 3" xfId="969"/>
    <cellStyle name="60% - Акцент2 3 2" xfId="970"/>
    <cellStyle name="60% - Акцент2 4" xfId="971"/>
    <cellStyle name="60% - Акцент2 4 2" xfId="972"/>
    <cellStyle name="60% - Акцент2 5" xfId="973"/>
    <cellStyle name="60% - Акцент2 5 2" xfId="974"/>
    <cellStyle name="60% - Акцент2 6" xfId="975"/>
    <cellStyle name="60% - Акцент2 6 2" xfId="976"/>
    <cellStyle name="60% - Акцент2 7" xfId="977"/>
    <cellStyle name="60% - Акцент2 7 2" xfId="978"/>
    <cellStyle name="60% - Акцент2 8" xfId="979"/>
    <cellStyle name="60% - Акцент2 8 2" xfId="980"/>
    <cellStyle name="60% - Акцент2 9" xfId="981"/>
    <cellStyle name="60% - Акцент2 9 2" xfId="982"/>
    <cellStyle name="60% - Акцент3 2" xfId="983"/>
    <cellStyle name="60% - Акцент3 2 2" xfId="984"/>
    <cellStyle name="60% - Акцент3 3" xfId="985"/>
    <cellStyle name="60% - Акцент3 3 2" xfId="986"/>
    <cellStyle name="60% - Акцент3 4" xfId="987"/>
    <cellStyle name="60% - Акцент3 4 2" xfId="988"/>
    <cellStyle name="60% - Акцент3 5" xfId="989"/>
    <cellStyle name="60% - Акцент3 5 2" xfId="990"/>
    <cellStyle name="60% - Акцент3 6" xfId="991"/>
    <cellStyle name="60% - Акцент3 6 2" xfId="992"/>
    <cellStyle name="60% - Акцент3 7" xfId="993"/>
    <cellStyle name="60% - Акцент3 7 2" xfId="994"/>
    <cellStyle name="60% - Акцент3 8" xfId="995"/>
    <cellStyle name="60% - Акцент3 8 2" xfId="996"/>
    <cellStyle name="60% - Акцент3 9" xfId="997"/>
    <cellStyle name="60% - Акцент3 9 2" xfId="998"/>
    <cellStyle name="60% - Акцент4 2" xfId="999"/>
    <cellStyle name="60% - Акцент4 2 2" xfId="1000"/>
    <cellStyle name="60% - Акцент4 3" xfId="1001"/>
    <cellStyle name="60% - Акцент4 3 2" xfId="1002"/>
    <cellStyle name="60% - Акцент4 4" xfId="1003"/>
    <cellStyle name="60% - Акцент4 4 2" xfId="1004"/>
    <cellStyle name="60% - Акцент4 5" xfId="1005"/>
    <cellStyle name="60% - Акцент4 5 2" xfId="1006"/>
    <cellStyle name="60% - Акцент4 6" xfId="1007"/>
    <cellStyle name="60% - Акцент4 6 2" xfId="1008"/>
    <cellStyle name="60% - Акцент4 7" xfId="1009"/>
    <cellStyle name="60% - Акцент4 7 2" xfId="1010"/>
    <cellStyle name="60% - Акцент4 8" xfId="1011"/>
    <cellStyle name="60% - Акцент4 8 2" xfId="1012"/>
    <cellStyle name="60% - Акцент4 9" xfId="1013"/>
    <cellStyle name="60% - Акцент4 9 2" xfId="1014"/>
    <cellStyle name="60% - Акцент5 2" xfId="1015"/>
    <cellStyle name="60% - Акцент5 2 2" xfId="1016"/>
    <cellStyle name="60% - Акцент5 3" xfId="1017"/>
    <cellStyle name="60% - Акцент5 3 2" xfId="1018"/>
    <cellStyle name="60% - Акцент5 4" xfId="1019"/>
    <cellStyle name="60% - Акцент5 4 2" xfId="1020"/>
    <cellStyle name="60% - Акцент5 5" xfId="1021"/>
    <cellStyle name="60% - Акцент5 5 2" xfId="1022"/>
    <cellStyle name="60% - Акцент5 6" xfId="1023"/>
    <cellStyle name="60% - Акцент5 6 2" xfId="1024"/>
    <cellStyle name="60% - Акцент5 7" xfId="1025"/>
    <cellStyle name="60% - Акцент5 7 2" xfId="1026"/>
    <cellStyle name="60% - Акцент5 8" xfId="1027"/>
    <cellStyle name="60% - Акцент5 8 2" xfId="1028"/>
    <cellStyle name="60% - Акцент5 9" xfId="1029"/>
    <cellStyle name="60% - Акцент5 9 2" xfId="1030"/>
    <cellStyle name="60% - Акцент6 2" xfId="1031"/>
    <cellStyle name="60% - Акцент6 2 2" xfId="1032"/>
    <cellStyle name="60% - Акцент6 3" xfId="1033"/>
    <cellStyle name="60% - Акцент6 3 2" xfId="1034"/>
    <cellStyle name="60% - Акцент6 4" xfId="1035"/>
    <cellStyle name="60% - Акцент6 4 2" xfId="1036"/>
    <cellStyle name="60% - Акцент6 5" xfId="1037"/>
    <cellStyle name="60% - Акцент6 5 2" xfId="1038"/>
    <cellStyle name="60% - Акцент6 6" xfId="1039"/>
    <cellStyle name="60% - Акцент6 6 2" xfId="1040"/>
    <cellStyle name="60% - Акцент6 7" xfId="1041"/>
    <cellStyle name="60% - Акцент6 7 2" xfId="1042"/>
    <cellStyle name="60% - Акцент6 8" xfId="1043"/>
    <cellStyle name="60% - Акцент6 8 2" xfId="1044"/>
    <cellStyle name="60% - Акцент6 9" xfId="1045"/>
    <cellStyle name="60% - Акцент6 9 2" xfId="1046"/>
    <cellStyle name="Accent1" xfId="1047"/>
    <cellStyle name="Accent2" xfId="1048"/>
    <cellStyle name="Accent3" xfId="1049"/>
    <cellStyle name="Accent4" xfId="1050"/>
    <cellStyle name="Accent5" xfId="1051"/>
    <cellStyle name="Accent6" xfId="1052"/>
    <cellStyle name="Ăčďĺđńńűëęŕ" xfId="1053"/>
    <cellStyle name="AFE" xfId="1054"/>
    <cellStyle name="Áĺççŕůčňíűé" xfId="1055"/>
    <cellStyle name="Äĺíĺćíűé [0]_(ňŕá 3č)" xfId="1056"/>
    <cellStyle name="Äĺíĺćíűé_(ňŕá 3č)" xfId="1057"/>
    <cellStyle name="Bad" xfId="1058"/>
    <cellStyle name="Blue" xfId="1059"/>
    <cellStyle name="Body_$Dollars" xfId="1060"/>
    <cellStyle name="Calculation" xfId="1061"/>
    <cellStyle name="Cells 2" xfId="1062"/>
    <cellStyle name="Check Cell" xfId="1063"/>
    <cellStyle name="Chek" xfId="1064"/>
    <cellStyle name="Comma [0]_Adjusted FS 1299" xfId="1065"/>
    <cellStyle name="Comma 0" xfId="1066"/>
    <cellStyle name="Comma 0*" xfId="1067"/>
    <cellStyle name="Comma 2" xfId="1068"/>
    <cellStyle name="Comma 3*" xfId="1069"/>
    <cellStyle name="Comma_Adjusted FS 1299" xfId="1070"/>
    <cellStyle name="Comma0" xfId="1071"/>
    <cellStyle name="Çŕůčňíűé" xfId="1072"/>
    <cellStyle name="Currency [0]" xfId="1073"/>
    <cellStyle name="Currency [0] 2" xfId="1074"/>
    <cellStyle name="Currency [0] 2 2" xfId="1075"/>
    <cellStyle name="Currency [0] 2 3" xfId="1076"/>
    <cellStyle name="Currency [0] 2 4" xfId="1077"/>
    <cellStyle name="Currency [0] 2 5" xfId="1078"/>
    <cellStyle name="Currency [0] 2 6" xfId="1079"/>
    <cellStyle name="Currency [0] 2 7" xfId="1080"/>
    <cellStyle name="Currency [0] 2 8" xfId="1081"/>
    <cellStyle name="Currency [0] 2 9" xfId="1082"/>
    <cellStyle name="Currency [0] 3" xfId="1083"/>
    <cellStyle name="Currency [0] 3 2" xfId="1084"/>
    <cellStyle name="Currency [0] 3 3" xfId="1085"/>
    <cellStyle name="Currency [0] 3 4" xfId="1086"/>
    <cellStyle name="Currency [0] 3 5" xfId="1087"/>
    <cellStyle name="Currency [0] 3 6" xfId="1088"/>
    <cellStyle name="Currency [0] 3 7" xfId="1089"/>
    <cellStyle name="Currency [0] 3 8" xfId="1090"/>
    <cellStyle name="Currency [0] 3 9" xfId="1091"/>
    <cellStyle name="Currency [0] 4" xfId="1092"/>
    <cellStyle name="Currency [0] 4 2" xfId="1093"/>
    <cellStyle name="Currency [0] 4 3" xfId="1094"/>
    <cellStyle name="Currency [0] 4 4" xfId="1095"/>
    <cellStyle name="Currency [0] 4 5" xfId="1096"/>
    <cellStyle name="Currency [0] 4 6" xfId="1097"/>
    <cellStyle name="Currency [0] 4 7" xfId="1098"/>
    <cellStyle name="Currency [0] 4 8" xfId="1099"/>
    <cellStyle name="Currency [0] 4 9" xfId="1100"/>
    <cellStyle name="Currency [0] 5" xfId="1101"/>
    <cellStyle name="Currency [0] 5 2" xfId="1102"/>
    <cellStyle name="Currency [0] 5 3" xfId="1103"/>
    <cellStyle name="Currency [0] 5 4" xfId="1104"/>
    <cellStyle name="Currency [0] 5 5" xfId="1105"/>
    <cellStyle name="Currency [0] 5 6" xfId="1106"/>
    <cellStyle name="Currency [0] 5 7" xfId="1107"/>
    <cellStyle name="Currency [0] 5 8" xfId="1108"/>
    <cellStyle name="Currency [0] 5 9" xfId="1109"/>
    <cellStyle name="Currency [0] 6" xfId="1110"/>
    <cellStyle name="Currency [0] 6 2" xfId="1111"/>
    <cellStyle name="Currency [0] 6 3" xfId="1112"/>
    <cellStyle name="Currency [0] 7" xfId="1113"/>
    <cellStyle name="Currency [0] 7 2" xfId="1114"/>
    <cellStyle name="Currency [0] 7 3" xfId="1115"/>
    <cellStyle name="Currency [0] 8" xfId="1116"/>
    <cellStyle name="Currency [0] 8 2" xfId="1117"/>
    <cellStyle name="Currency [0] 8 3" xfId="1118"/>
    <cellStyle name="Currency 0" xfId="1119"/>
    <cellStyle name="Currency 2" xfId="1120"/>
    <cellStyle name="Currency_06_9m" xfId="1121"/>
    <cellStyle name="Currency0" xfId="1122"/>
    <cellStyle name="Currency2" xfId="1123"/>
    <cellStyle name="Date" xfId="1124"/>
    <cellStyle name="Date Aligned" xfId="1125"/>
    <cellStyle name="Dates" xfId="1126"/>
    <cellStyle name="Dezimal [0]_NEGS" xfId="1127"/>
    <cellStyle name="Dezimal_NEGS" xfId="1128"/>
    <cellStyle name="Dotted Line" xfId="1129"/>
    <cellStyle name="E&amp;Y House" xfId="1130"/>
    <cellStyle name="E-mail" xfId="1131"/>
    <cellStyle name="E-mail 2" xfId="1132"/>
    <cellStyle name="E-mail_46EP.2012(v0.1)" xfId="1133"/>
    <cellStyle name="Euro" xfId="1134"/>
    <cellStyle name="Euro 2" xfId="2047"/>
    <cellStyle name="ew" xfId="1135"/>
    <cellStyle name="Explanatory Text" xfId="1136"/>
    <cellStyle name="F2" xfId="1137"/>
    <cellStyle name="F3" xfId="1138"/>
    <cellStyle name="F4" xfId="1139"/>
    <cellStyle name="F5" xfId="1140"/>
    <cellStyle name="F6" xfId="1141"/>
    <cellStyle name="F7" xfId="1142"/>
    <cellStyle name="F8" xfId="1143"/>
    <cellStyle name="Fixed" xfId="1144"/>
    <cellStyle name="fo]_x000d__x000a_UserName=Murat Zelef_x000d__x000a_UserCompany=Bumerang_x000d__x000a__x000d__x000a_[File Paths]_x000d__x000a_WorkingDirectory=C:\EQUIS\DLWIN_x000d__x000a_DownLoader=C" xfId="1145"/>
    <cellStyle name="Followed Hyperlink" xfId="1146"/>
    <cellStyle name="Footnote" xfId="1147"/>
    <cellStyle name="Good" xfId="1148"/>
    <cellStyle name="hard no" xfId="1149"/>
    <cellStyle name="Hard Percent" xfId="1150"/>
    <cellStyle name="hardno" xfId="1151"/>
    <cellStyle name="Header" xfId="1152"/>
    <cellStyle name="Header 3" xfId="1153"/>
    <cellStyle name="Heading" xfId="1154"/>
    <cellStyle name="Heading 1" xfId="1155"/>
    <cellStyle name="Heading 2" xfId="1156"/>
    <cellStyle name="Heading 3" xfId="1157"/>
    <cellStyle name="Heading 4" xfId="1158"/>
    <cellStyle name="Heading_GP.ITOG.4.78(v1.0) - для разделения" xfId="1159"/>
    <cellStyle name="Heading2" xfId="1160"/>
    <cellStyle name="Heading2 2" xfId="1161"/>
    <cellStyle name="Heading2_46EP.2012(v0.1)" xfId="1162"/>
    <cellStyle name="Hyperlink" xfId="1163"/>
    <cellStyle name="Îáű÷íűé__FES" xfId="1164"/>
    <cellStyle name="Îáû÷íûé_cogs" xfId="1165"/>
    <cellStyle name="Îňęđűâŕâřŕ˙ń˙ ăčďĺđńńűëęŕ" xfId="1166"/>
    <cellStyle name="Info" xfId="1167"/>
    <cellStyle name="Input" xfId="1168"/>
    <cellStyle name="InputCurrency" xfId="1169"/>
    <cellStyle name="InputCurrency2" xfId="1170"/>
    <cellStyle name="InputMultiple1" xfId="1171"/>
    <cellStyle name="InputPercent1" xfId="1172"/>
    <cellStyle name="Inputs" xfId="1173"/>
    <cellStyle name="Inputs (const)" xfId="1174"/>
    <cellStyle name="Inputs (const) 2" xfId="1175"/>
    <cellStyle name="Inputs (const)_46EP.2012(v0.1)" xfId="1176"/>
    <cellStyle name="Inputs 2" xfId="1177"/>
    <cellStyle name="Inputs Co" xfId="1178"/>
    <cellStyle name="Inputs_46EE.2011(v1.0)" xfId="1179"/>
    <cellStyle name="Linked Cell" xfId="1180"/>
    <cellStyle name="Millares [0]_RESULTS" xfId="1181"/>
    <cellStyle name="Millares_RESULTS" xfId="1182"/>
    <cellStyle name="Milliers [0]_RESULTS" xfId="1183"/>
    <cellStyle name="Milliers_RESULTS" xfId="1184"/>
    <cellStyle name="mnb" xfId="1185"/>
    <cellStyle name="Moneda [0]_RESULTS" xfId="1186"/>
    <cellStyle name="Moneda_RESULTS" xfId="1187"/>
    <cellStyle name="Monétaire [0]_RESULTS" xfId="1188"/>
    <cellStyle name="Monétaire_RESULTS" xfId="1189"/>
    <cellStyle name="Multiple" xfId="1190"/>
    <cellStyle name="Multiple1" xfId="1191"/>
    <cellStyle name="MultipleBelow" xfId="1192"/>
    <cellStyle name="namber" xfId="1193"/>
    <cellStyle name="Neutral" xfId="1194"/>
    <cellStyle name="Norma11l" xfId="1195"/>
    <cellStyle name="normal" xfId="1196"/>
    <cellStyle name="Normal - Style1" xfId="1197"/>
    <cellStyle name="normal 10" xfId="1198"/>
    <cellStyle name="Normal 2" xfId="1199"/>
    <cellStyle name="Normal 2 2" xfId="1200"/>
    <cellStyle name="Normal 2 3" xfId="1201"/>
    <cellStyle name="normal 3" xfId="1202"/>
    <cellStyle name="normal 4" xfId="1203"/>
    <cellStyle name="normal 5" xfId="1204"/>
    <cellStyle name="normal 6" xfId="1205"/>
    <cellStyle name="normal 7" xfId="1206"/>
    <cellStyle name="normal 8" xfId="1207"/>
    <cellStyle name="normal 9" xfId="1208"/>
    <cellStyle name="Normal." xfId="1209"/>
    <cellStyle name="Normal_06_9m" xfId="1210"/>
    <cellStyle name="Normal1" xfId="1211"/>
    <cellStyle name="Normal2" xfId="1212"/>
    <cellStyle name="NormalGB" xfId="1213"/>
    <cellStyle name="Normalny_24. 02. 97." xfId="1214"/>
    <cellStyle name="normбlnм_laroux" xfId="1215"/>
    <cellStyle name="Note" xfId="1216"/>
    <cellStyle name="number" xfId="1217"/>
    <cellStyle name="Ôčíŕíńîâűé [0]_(ňŕá 3č)" xfId="1218"/>
    <cellStyle name="Ôčíŕíńîâűé_(ňŕá 3č)" xfId="1219"/>
    <cellStyle name="Option" xfId="1220"/>
    <cellStyle name="Òûñÿ÷è [0]_cogs" xfId="1221"/>
    <cellStyle name="Òûñÿ÷è_cogs" xfId="1222"/>
    <cellStyle name="Output" xfId="1223"/>
    <cellStyle name="Page Number" xfId="1224"/>
    <cellStyle name="pb_page_heading_LS" xfId="1225"/>
    <cellStyle name="Percent_RS_Lianozovo-Samara_9m01" xfId="1226"/>
    <cellStyle name="Percent1" xfId="1227"/>
    <cellStyle name="Piug" xfId="1228"/>
    <cellStyle name="Plug" xfId="1229"/>
    <cellStyle name="Price_Body" xfId="1230"/>
    <cellStyle name="prochrek" xfId="1231"/>
    <cellStyle name="Protected" xfId="1232"/>
    <cellStyle name="Salomon Logo" xfId="1233"/>
    <cellStyle name="SAPBEXaggData" xfId="1234"/>
    <cellStyle name="SAPBEXaggDataEmph" xfId="1235"/>
    <cellStyle name="SAPBEXaggItem" xfId="1236"/>
    <cellStyle name="SAPBEXaggItemX" xfId="1237"/>
    <cellStyle name="SAPBEXchaText" xfId="1238"/>
    <cellStyle name="SAPBEXexcBad7" xfId="1239"/>
    <cellStyle name="SAPBEXexcBad8" xfId="1240"/>
    <cellStyle name="SAPBEXexcBad9" xfId="1241"/>
    <cellStyle name="SAPBEXexcCritical4" xfId="1242"/>
    <cellStyle name="SAPBEXexcCritical5" xfId="1243"/>
    <cellStyle name="SAPBEXexcCritical6" xfId="1244"/>
    <cellStyle name="SAPBEXexcGood1" xfId="1245"/>
    <cellStyle name="SAPBEXexcGood2" xfId="1246"/>
    <cellStyle name="SAPBEXexcGood3" xfId="1247"/>
    <cellStyle name="SAPBEXfilterDrill" xfId="1248"/>
    <cellStyle name="SAPBEXfilterItem" xfId="1249"/>
    <cellStyle name="SAPBEXfilterText" xfId="1250"/>
    <cellStyle name="SAPBEXformats" xfId="1251"/>
    <cellStyle name="SAPBEXheaderItem" xfId="1252"/>
    <cellStyle name="SAPBEXheaderText" xfId="1253"/>
    <cellStyle name="SAPBEXHLevel0" xfId="1254"/>
    <cellStyle name="SAPBEXHLevel0X" xfId="1255"/>
    <cellStyle name="SAPBEXHLevel1" xfId="1256"/>
    <cellStyle name="SAPBEXHLevel1X" xfId="1257"/>
    <cellStyle name="SAPBEXHLevel2" xfId="1258"/>
    <cellStyle name="SAPBEXHLevel2X" xfId="1259"/>
    <cellStyle name="SAPBEXHLevel3" xfId="1260"/>
    <cellStyle name="SAPBEXHLevel3X" xfId="1261"/>
    <cellStyle name="SAPBEXinputData" xfId="1262"/>
    <cellStyle name="SAPBEXresData" xfId="1263"/>
    <cellStyle name="SAPBEXresDataEmph" xfId="1264"/>
    <cellStyle name="SAPBEXresItem" xfId="1265"/>
    <cellStyle name="SAPBEXresItemX" xfId="1266"/>
    <cellStyle name="SAPBEXstdData" xfId="1267"/>
    <cellStyle name="SAPBEXstdDataEmph" xfId="1268"/>
    <cellStyle name="SAPBEXstdItem" xfId="1269"/>
    <cellStyle name="SAPBEXstdItemX" xfId="1270"/>
    <cellStyle name="SAPBEXtitle" xfId="1271"/>
    <cellStyle name="SAPBEXundefined" xfId="1272"/>
    <cellStyle name="st1" xfId="1273"/>
    <cellStyle name="Standard_NEGS" xfId="1274"/>
    <cellStyle name="Style 1" xfId="1275"/>
    <cellStyle name="Table Head" xfId="1276"/>
    <cellStyle name="Table Head Aligned" xfId="1277"/>
    <cellStyle name="Table Head Blue" xfId="1278"/>
    <cellStyle name="Table Head Green" xfId="1279"/>
    <cellStyle name="Table Head_Val_Sum_Graph" xfId="1280"/>
    <cellStyle name="Table Heading" xfId="1281"/>
    <cellStyle name="Table Heading 2" xfId="1282"/>
    <cellStyle name="Table Heading_46EP.2012(v0.1)" xfId="1283"/>
    <cellStyle name="Table Text" xfId="1284"/>
    <cellStyle name="Table Title" xfId="1285"/>
    <cellStyle name="Table Units" xfId="1286"/>
    <cellStyle name="Table_Header" xfId="1287"/>
    <cellStyle name="Text" xfId="1288"/>
    <cellStyle name="Text 1" xfId="1289"/>
    <cellStyle name="Text Head" xfId="1290"/>
    <cellStyle name="Text Head 1" xfId="1291"/>
    <cellStyle name="Title" xfId="1292"/>
    <cellStyle name="Title 4" xfId="1293"/>
    <cellStyle name="Total" xfId="1294"/>
    <cellStyle name="TotalCurrency" xfId="1295"/>
    <cellStyle name="Underline_Single" xfId="1296"/>
    <cellStyle name="Unit" xfId="1297"/>
    <cellStyle name="Warning Text" xfId="1298"/>
    <cellStyle name="year" xfId="1299"/>
    <cellStyle name="Акцент1 2" xfId="1300"/>
    <cellStyle name="Акцент1 2 2" xfId="1301"/>
    <cellStyle name="Акцент1 3" xfId="1302"/>
    <cellStyle name="Акцент1 3 2" xfId="1303"/>
    <cellStyle name="Акцент1 4" xfId="1304"/>
    <cellStyle name="Акцент1 4 2" xfId="1305"/>
    <cellStyle name="Акцент1 5" xfId="1306"/>
    <cellStyle name="Акцент1 5 2" xfId="1307"/>
    <cellStyle name="Акцент1 6" xfId="1308"/>
    <cellStyle name="Акцент1 6 2" xfId="1309"/>
    <cellStyle name="Акцент1 7" xfId="1310"/>
    <cellStyle name="Акцент1 7 2" xfId="1311"/>
    <cellStyle name="Акцент1 8" xfId="1312"/>
    <cellStyle name="Акцент1 8 2" xfId="1313"/>
    <cellStyle name="Акцент1 9" xfId="1314"/>
    <cellStyle name="Акцент1 9 2" xfId="1315"/>
    <cellStyle name="Акцент2 2" xfId="1316"/>
    <cellStyle name="Акцент2 2 2" xfId="1317"/>
    <cellStyle name="Акцент2 3" xfId="1318"/>
    <cellStyle name="Акцент2 3 2" xfId="1319"/>
    <cellStyle name="Акцент2 4" xfId="1320"/>
    <cellStyle name="Акцент2 4 2" xfId="1321"/>
    <cellStyle name="Акцент2 5" xfId="1322"/>
    <cellStyle name="Акцент2 5 2" xfId="1323"/>
    <cellStyle name="Акцент2 6" xfId="1324"/>
    <cellStyle name="Акцент2 6 2" xfId="1325"/>
    <cellStyle name="Акцент2 7" xfId="1326"/>
    <cellStyle name="Акцент2 7 2" xfId="1327"/>
    <cellStyle name="Акцент2 8" xfId="1328"/>
    <cellStyle name="Акцент2 8 2" xfId="1329"/>
    <cellStyle name="Акцент2 9" xfId="1330"/>
    <cellStyle name="Акцент2 9 2" xfId="1331"/>
    <cellStyle name="Акцент3 2" xfId="1332"/>
    <cellStyle name="Акцент3 2 2" xfId="1333"/>
    <cellStyle name="Акцент3 3" xfId="1334"/>
    <cellStyle name="Акцент3 3 2" xfId="1335"/>
    <cellStyle name="Акцент3 4" xfId="1336"/>
    <cellStyle name="Акцент3 4 2" xfId="1337"/>
    <cellStyle name="Акцент3 5" xfId="1338"/>
    <cellStyle name="Акцент3 5 2" xfId="1339"/>
    <cellStyle name="Акцент3 6" xfId="1340"/>
    <cellStyle name="Акцент3 6 2" xfId="1341"/>
    <cellStyle name="Акцент3 7" xfId="1342"/>
    <cellStyle name="Акцент3 7 2" xfId="1343"/>
    <cellStyle name="Акцент3 8" xfId="1344"/>
    <cellStyle name="Акцент3 8 2" xfId="1345"/>
    <cellStyle name="Акцент3 9" xfId="1346"/>
    <cellStyle name="Акцент3 9 2" xfId="1347"/>
    <cellStyle name="Акцент4 2" xfId="1348"/>
    <cellStyle name="Акцент4 2 2" xfId="1349"/>
    <cellStyle name="Акцент4 3" xfId="1350"/>
    <cellStyle name="Акцент4 3 2" xfId="1351"/>
    <cellStyle name="Акцент4 4" xfId="1352"/>
    <cellStyle name="Акцент4 4 2" xfId="1353"/>
    <cellStyle name="Акцент4 5" xfId="1354"/>
    <cellStyle name="Акцент4 5 2" xfId="1355"/>
    <cellStyle name="Акцент4 6" xfId="1356"/>
    <cellStyle name="Акцент4 6 2" xfId="1357"/>
    <cellStyle name="Акцент4 7" xfId="1358"/>
    <cellStyle name="Акцент4 7 2" xfId="1359"/>
    <cellStyle name="Акцент4 8" xfId="1360"/>
    <cellStyle name="Акцент4 8 2" xfId="1361"/>
    <cellStyle name="Акцент4 9" xfId="1362"/>
    <cellStyle name="Акцент4 9 2" xfId="1363"/>
    <cellStyle name="Акцент5 2" xfId="1364"/>
    <cellStyle name="Акцент5 2 2" xfId="1365"/>
    <cellStyle name="Акцент5 3" xfId="1366"/>
    <cellStyle name="Акцент5 3 2" xfId="1367"/>
    <cellStyle name="Акцент5 4" xfId="1368"/>
    <cellStyle name="Акцент5 4 2" xfId="1369"/>
    <cellStyle name="Акцент5 5" xfId="1370"/>
    <cellStyle name="Акцент5 5 2" xfId="1371"/>
    <cellStyle name="Акцент5 6" xfId="1372"/>
    <cellStyle name="Акцент5 6 2" xfId="1373"/>
    <cellStyle name="Акцент5 7" xfId="1374"/>
    <cellStyle name="Акцент5 7 2" xfId="1375"/>
    <cellStyle name="Акцент5 8" xfId="1376"/>
    <cellStyle name="Акцент5 8 2" xfId="1377"/>
    <cellStyle name="Акцент5 9" xfId="1378"/>
    <cellStyle name="Акцент5 9 2" xfId="1379"/>
    <cellStyle name="Акцент6 2" xfId="1380"/>
    <cellStyle name="Акцент6 2 2" xfId="1381"/>
    <cellStyle name="Акцент6 3" xfId="1382"/>
    <cellStyle name="Акцент6 3 2" xfId="1383"/>
    <cellStyle name="Акцент6 4" xfId="1384"/>
    <cellStyle name="Акцент6 4 2" xfId="1385"/>
    <cellStyle name="Акцент6 5" xfId="1386"/>
    <cellStyle name="Акцент6 5 2" xfId="1387"/>
    <cellStyle name="Акцент6 6" xfId="1388"/>
    <cellStyle name="Акцент6 6 2" xfId="1389"/>
    <cellStyle name="Акцент6 7" xfId="1390"/>
    <cellStyle name="Акцент6 7 2" xfId="1391"/>
    <cellStyle name="Акцент6 8" xfId="1392"/>
    <cellStyle name="Акцент6 8 2" xfId="1393"/>
    <cellStyle name="Акцент6 9" xfId="1394"/>
    <cellStyle name="Акцент6 9 2" xfId="1395"/>
    <cellStyle name="Беззащитный" xfId="1396"/>
    <cellStyle name="Ввод  10" xfId="1397"/>
    <cellStyle name="Ввод  2" xfId="1398"/>
    <cellStyle name="Ввод  2 2" xfId="1399"/>
    <cellStyle name="Ввод  2_46EE.2011(v1.0)" xfId="1400"/>
    <cellStyle name="Ввод  3" xfId="1401"/>
    <cellStyle name="Ввод  3 2" xfId="1402"/>
    <cellStyle name="Ввод  3_46EE.2011(v1.0)" xfId="1403"/>
    <cellStyle name="Ввод  4" xfId="1404"/>
    <cellStyle name="Ввод  4 2" xfId="1405"/>
    <cellStyle name="Ввод  4_46EE.2011(v1.0)" xfId="1406"/>
    <cellStyle name="Ввод  5" xfId="1407"/>
    <cellStyle name="Ввод  5 2" xfId="1408"/>
    <cellStyle name="Ввод  5_46EE.2011(v1.0)" xfId="1409"/>
    <cellStyle name="Ввод  6" xfId="1410"/>
    <cellStyle name="Ввод  6 2" xfId="1411"/>
    <cellStyle name="Ввод  6_46EE.2011(v1.0)" xfId="1412"/>
    <cellStyle name="Ввод  7" xfId="1413"/>
    <cellStyle name="Ввод  7 2" xfId="1414"/>
    <cellStyle name="Ввод  7_46EE.2011(v1.0)" xfId="1415"/>
    <cellStyle name="Ввод  8" xfId="1416"/>
    <cellStyle name="Ввод  8 2" xfId="1417"/>
    <cellStyle name="Ввод  8_46EE.2011(v1.0)" xfId="1418"/>
    <cellStyle name="Ввод  9" xfId="1419"/>
    <cellStyle name="Ввод  9 2" xfId="1420"/>
    <cellStyle name="Ввод  9_46EE.2011(v1.0)" xfId="1421"/>
    <cellStyle name="Верт. заголовок" xfId="1422"/>
    <cellStyle name="Вес_продукта" xfId="1423"/>
    <cellStyle name="Вывод 2" xfId="1424"/>
    <cellStyle name="Вывод 2 2" xfId="1425"/>
    <cellStyle name="Вывод 2_46EE.2011(v1.0)" xfId="1426"/>
    <cellStyle name="Вывод 3" xfId="1427"/>
    <cellStyle name="Вывод 3 2" xfId="1428"/>
    <cellStyle name="Вывод 3_46EE.2011(v1.0)" xfId="1429"/>
    <cellStyle name="Вывод 4" xfId="1430"/>
    <cellStyle name="Вывод 4 2" xfId="1431"/>
    <cellStyle name="Вывод 4_46EE.2011(v1.0)" xfId="1432"/>
    <cellStyle name="Вывод 5" xfId="1433"/>
    <cellStyle name="Вывод 5 2" xfId="1434"/>
    <cellStyle name="Вывод 5_46EE.2011(v1.0)" xfId="1435"/>
    <cellStyle name="Вывод 6" xfId="1436"/>
    <cellStyle name="Вывод 6 2" xfId="1437"/>
    <cellStyle name="Вывод 6_46EE.2011(v1.0)" xfId="1438"/>
    <cellStyle name="Вывод 7" xfId="1439"/>
    <cellStyle name="Вывод 7 2" xfId="1440"/>
    <cellStyle name="Вывод 7_46EE.2011(v1.0)" xfId="1441"/>
    <cellStyle name="Вывод 8" xfId="1442"/>
    <cellStyle name="Вывод 8 2" xfId="1443"/>
    <cellStyle name="Вывод 8_46EE.2011(v1.0)" xfId="1444"/>
    <cellStyle name="Вывод 9" xfId="1445"/>
    <cellStyle name="Вывод 9 2" xfId="1446"/>
    <cellStyle name="Вывод 9_46EE.2011(v1.0)" xfId="1447"/>
    <cellStyle name="Вычисление 2" xfId="1448"/>
    <cellStyle name="Вычисление 2 2" xfId="1449"/>
    <cellStyle name="Вычисление 2_46EE.2011(v1.0)" xfId="1450"/>
    <cellStyle name="Вычисление 3" xfId="1451"/>
    <cellStyle name="Вычисление 3 2" xfId="1452"/>
    <cellStyle name="Вычисление 3_46EE.2011(v1.0)" xfId="1453"/>
    <cellStyle name="Вычисление 4" xfId="1454"/>
    <cellStyle name="Вычисление 4 2" xfId="1455"/>
    <cellStyle name="Вычисление 4_46EE.2011(v1.0)" xfId="1456"/>
    <cellStyle name="Вычисление 5" xfId="1457"/>
    <cellStyle name="Вычисление 5 2" xfId="1458"/>
    <cellStyle name="Вычисление 5_46EE.2011(v1.0)" xfId="1459"/>
    <cellStyle name="Вычисление 6" xfId="1460"/>
    <cellStyle name="Вычисление 6 2" xfId="1461"/>
    <cellStyle name="Вычисление 6_46EE.2011(v1.0)" xfId="1462"/>
    <cellStyle name="Вычисление 7" xfId="1463"/>
    <cellStyle name="Вычисление 7 2" xfId="1464"/>
    <cellStyle name="Вычисление 7_46EE.2011(v1.0)" xfId="1465"/>
    <cellStyle name="Вычисление 8" xfId="1466"/>
    <cellStyle name="Вычисление 8 2" xfId="1467"/>
    <cellStyle name="Вычисление 8_46EE.2011(v1.0)" xfId="1468"/>
    <cellStyle name="Вычисление 9" xfId="1469"/>
    <cellStyle name="Вычисление 9 2" xfId="1470"/>
    <cellStyle name="Вычисление 9_46EE.2011(v1.0)" xfId="1471"/>
    <cellStyle name="Гиперссылка" xfId="42" builtinId="8"/>
    <cellStyle name="Гиперссылка 2" xfId="1473"/>
    <cellStyle name="Гиперссылка 2 2" xfId="1474"/>
    <cellStyle name="Гиперссылка 2 2 2" xfId="1475"/>
    <cellStyle name="Гиперссылка 2 3" xfId="1476"/>
    <cellStyle name="Гиперссылка 3" xfId="1477"/>
    <cellStyle name="Гиперссылка 4" xfId="1478"/>
    <cellStyle name="Гиперссылка 4 6" xfId="1479"/>
    <cellStyle name="Гиперссылка 5" xfId="1472"/>
    <cellStyle name="Группа" xfId="1480"/>
    <cellStyle name="Группа 0" xfId="1481"/>
    <cellStyle name="Группа 1" xfId="1482"/>
    <cellStyle name="Группа 2" xfId="1483"/>
    <cellStyle name="Группа 3" xfId="1484"/>
    <cellStyle name="Группа 4" xfId="1485"/>
    <cellStyle name="Группа 5" xfId="1486"/>
    <cellStyle name="Группа 6" xfId="1487"/>
    <cellStyle name="Группа 7" xfId="1488"/>
    <cellStyle name="Группа 8" xfId="1489"/>
    <cellStyle name="Группа_additional slides_04.12.03 _1" xfId="1490"/>
    <cellStyle name="ДАТА" xfId="1491"/>
    <cellStyle name="ДАТА 2" xfId="1492"/>
    <cellStyle name="ДАТА 3" xfId="1493"/>
    <cellStyle name="ДАТА 4" xfId="1494"/>
    <cellStyle name="ДАТА 5" xfId="1495"/>
    <cellStyle name="ДАТА 6" xfId="1496"/>
    <cellStyle name="ДАТА 7" xfId="1497"/>
    <cellStyle name="ДАТА 8" xfId="1498"/>
    <cellStyle name="ДАТА 9" xfId="1499"/>
    <cellStyle name="ДАТА_1" xfId="1500"/>
    <cellStyle name="Денежный 2" xfId="1501"/>
    <cellStyle name="Денежный 2 2" xfId="1502"/>
    <cellStyle name="Денежный 2 3" xfId="2075"/>
    <cellStyle name="Денежный 2_INDEX.STATION.2012(v1.0)_" xfId="1503"/>
    <cellStyle name="Заголовок" xfId="1504"/>
    <cellStyle name="Заголовок 1 2" xfId="1505"/>
    <cellStyle name="Заголовок 1 2 2" xfId="1506"/>
    <cellStyle name="Заголовок 1 2_46EE.2011(v1.0)" xfId="1507"/>
    <cellStyle name="Заголовок 1 3" xfId="1508"/>
    <cellStyle name="Заголовок 1 3 2" xfId="1509"/>
    <cellStyle name="Заголовок 1 3_46EE.2011(v1.0)" xfId="1510"/>
    <cellStyle name="Заголовок 1 4" xfId="1511"/>
    <cellStyle name="Заголовок 1 4 2" xfId="1512"/>
    <cellStyle name="Заголовок 1 4_46EE.2011(v1.0)" xfId="1513"/>
    <cellStyle name="Заголовок 1 5" xfId="1514"/>
    <cellStyle name="Заголовок 1 5 2" xfId="1515"/>
    <cellStyle name="Заголовок 1 5_46EE.2011(v1.0)" xfId="1516"/>
    <cellStyle name="Заголовок 1 6" xfId="1517"/>
    <cellStyle name="Заголовок 1 6 2" xfId="1518"/>
    <cellStyle name="Заголовок 1 6_46EE.2011(v1.0)" xfId="1519"/>
    <cellStyle name="Заголовок 1 7" xfId="1520"/>
    <cellStyle name="Заголовок 1 7 2" xfId="1521"/>
    <cellStyle name="Заголовок 1 7_46EE.2011(v1.0)" xfId="1522"/>
    <cellStyle name="Заголовок 1 8" xfId="1523"/>
    <cellStyle name="Заголовок 1 8 2" xfId="1524"/>
    <cellStyle name="Заголовок 1 8_46EE.2011(v1.0)" xfId="1525"/>
    <cellStyle name="Заголовок 1 9" xfId="1526"/>
    <cellStyle name="Заголовок 1 9 2" xfId="1527"/>
    <cellStyle name="Заголовок 1 9_46EE.2011(v1.0)" xfId="1528"/>
    <cellStyle name="Заголовок 2 2" xfId="1529"/>
    <cellStyle name="Заголовок 2 2 2" xfId="1530"/>
    <cellStyle name="Заголовок 2 2_46EE.2011(v1.0)" xfId="1531"/>
    <cellStyle name="Заголовок 2 3" xfId="1532"/>
    <cellStyle name="Заголовок 2 3 2" xfId="1533"/>
    <cellStyle name="Заголовок 2 3_46EE.2011(v1.0)" xfId="1534"/>
    <cellStyle name="Заголовок 2 4" xfId="1535"/>
    <cellStyle name="Заголовок 2 4 2" xfId="1536"/>
    <cellStyle name="Заголовок 2 4_46EE.2011(v1.0)" xfId="1537"/>
    <cellStyle name="Заголовок 2 5" xfId="1538"/>
    <cellStyle name="Заголовок 2 5 2" xfId="1539"/>
    <cellStyle name="Заголовок 2 5_46EE.2011(v1.0)" xfId="1540"/>
    <cellStyle name="Заголовок 2 6" xfId="1541"/>
    <cellStyle name="Заголовок 2 6 2" xfId="1542"/>
    <cellStyle name="Заголовок 2 6_46EE.2011(v1.0)" xfId="1543"/>
    <cellStyle name="Заголовок 2 7" xfId="1544"/>
    <cellStyle name="Заголовок 2 7 2" xfId="1545"/>
    <cellStyle name="Заголовок 2 7_46EE.2011(v1.0)" xfId="1546"/>
    <cellStyle name="Заголовок 2 8" xfId="1547"/>
    <cellStyle name="Заголовок 2 8 2" xfId="1548"/>
    <cellStyle name="Заголовок 2 8_46EE.2011(v1.0)" xfId="1549"/>
    <cellStyle name="Заголовок 2 9" xfId="1550"/>
    <cellStyle name="Заголовок 2 9 2" xfId="1551"/>
    <cellStyle name="Заголовок 2 9_46EE.2011(v1.0)" xfId="1552"/>
    <cellStyle name="Заголовок 3 2" xfId="1553"/>
    <cellStyle name="Заголовок 3 2 2" xfId="1554"/>
    <cellStyle name="Заголовок 3 2_46EE.2011(v1.0)" xfId="1555"/>
    <cellStyle name="Заголовок 3 3" xfId="1556"/>
    <cellStyle name="Заголовок 3 3 2" xfId="1557"/>
    <cellStyle name="Заголовок 3 3_46EE.2011(v1.0)" xfId="1558"/>
    <cellStyle name="Заголовок 3 4" xfId="1559"/>
    <cellStyle name="Заголовок 3 4 2" xfId="1560"/>
    <cellStyle name="Заголовок 3 4_46EE.2011(v1.0)" xfId="1561"/>
    <cellStyle name="Заголовок 3 5" xfId="1562"/>
    <cellStyle name="Заголовок 3 5 2" xfId="1563"/>
    <cellStyle name="Заголовок 3 5_46EE.2011(v1.0)" xfId="1564"/>
    <cellStyle name="Заголовок 3 6" xfId="1565"/>
    <cellStyle name="Заголовок 3 6 2" xfId="1566"/>
    <cellStyle name="Заголовок 3 6_46EE.2011(v1.0)" xfId="1567"/>
    <cellStyle name="Заголовок 3 7" xfId="1568"/>
    <cellStyle name="Заголовок 3 7 2" xfId="1569"/>
    <cellStyle name="Заголовок 3 7_46EE.2011(v1.0)" xfId="1570"/>
    <cellStyle name="Заголовок 3 8" xfId="1571"/>
    <cellStyle name="Заголовок 3 8 2" xfId="1572"/>
    <cellStyle name="Заголовок 3 8_46EE.2011(v1.0)" xfId="1573"/>
    <cellStyle name="Заголовок 3 9" xfId="1574"/>
    <cellStyle name="Заголовок 3 9 2" xfId="1575"/>
    <cellStyle name="Заголовок 3 9_46EE.2011(v1.0)" xfId="1576"/>
    <cellStyle name="Заголовок 4 2" xfId="1577"/>
    <cellStyle name="Заголовок 4 2 2" xfId="1578"/>
    <cellStyle name="Заголовок 4 3" xfId="1579"/>
    <cellStyle name="Заголовок 4 3 2" xfId="1580"/>
    <cellStyle name="Заголовок 4 4" xfId="1581"/>
    <cellStyle name="Заголовок 4 4 2" xfId="1582"/>
    <cellStyle name="Заголовок 4 5" xfId="1583"/>
    <cellStyle name="Заголовок 4 5 2" xfId="1584"/>
    <cellStyle name="Заголовок 4 6" xfId="1585"/>
    <cellStyle name="Заголовок 4 6 2" xfId="1586"/>
    <cellStyle name="Заголовок 4 7" xfId="1587"/>
    <cellStyle name="Заголовок 4 7 2" xfId="1588"/>
    <cellStyle name="Заголовок 4 8" xfId="1589"/>
    <cellStyle name="Заголовок 4 8 2" xfId="1590"/>
    <cellStyle name="Заголовок 4 9" xfId="1591"/>
    <cellStyle name="Заголовок 4 9 2" xfId="1592"/>
    <cellStyle name="ЗАГОЛОВОК1" xfId="1593"/>
    <cellStyle name="ЗАГОЛОВОК2" xfId="1594"/>
    <cellStyle name="ЗаголовокСтолбца" xfId="1595"/>
    <cellStyle name="Защитный" xfId="1596"/>
    <cellStyle name="Значение" xfId="1597"/>
    <cellStyle name="Зоголовок" xfId="1598"/>
    <cellStyle name="Итог 2" xfId="1599"/>
    <cellStyle name="Итог 2 2" xfId="1600"/>
    <cellStyle name="Итог 2_46EE.2011(v1.0)" xfId="1601"/>
    <cellStyle name="Итог 3" xfId="1602"/>
    <cellStyle name="Итог 3 2" xfId="1603"/>
    <cellStyle name="Итог 3_46EE.2011(v1.0)" xfId="1604"/>
    <cellStyle name="Итог 4" xfId="1605"/>
    <cellStyle name="Итог 4 2" xfId="1606"/>
    <cellStyle name="Итог 4_46EE.2011(v1.0)" xfId="1607"/>
    <cellStyle name="Итог 5" xfId="1608"/>
    <cellStyle name="Итог 5 2" xfId="1609"/>
    <cellStyle name="Итог 5_46EE.2011(v1.0)" xfId="1610"/>
    <cellStyle name="Итог 6" xfId="1611"/>
    <cellStyle name="Итог 6 2" xfId="1612"/>
    <cellStyle name="Итог 6_46EE.2011(v1.0)" xfId="1613"/>
    <cellStyle name="Итог 7" xfId="1614"/>
    <cellStyle name="Итог 7 2" xfId="1615"/>
    <cellStyle name="Итог 7_46EE.2011(v1.0)" xfId="1616"/>
    <cellStyle name="Итог 8" xfId="1617"/>
    <cellStyle name="Итог 8 2" xfId="1618"/>
    <cellStyle name="Итог 8_46EE.2011(v1.0)" xfId="1619"/>
    <cellStyle name="Итог 9" xfId="1620"/>
    <cellStyle name="Итог 9 2" xfId="1621"/>
    <cellStyle name="Итог 9_46EE.2011(v1.0)" xfId="1622"/>
    <cellStyle name="Итого" xfId="1623"/>
    <cellStyle name="ИТОГОВЫЙ" xfId="1624"/>
    <cellStyle name="ИТОГОВЫЙ 2" xfId="1625"/>
    <cellStyle name="ИТОГОВЫЙ 3" xfId="1626"/>
    <cellStyle name="ИТОГОВЫЙ 4" xfId="1627"/>
    <cellStyle name="ИТОГОВЫЙ 5" xfId="1628"/>
    <cellStyle name="ИТОГОВЫЙ 6" xfId="1629"/>
    <cellStyle name="ИТОГОВЫЙ 7" xfId="1630"/>
    <cellStyle name="ИТОГОВЫЙ 8" xfId="1631"/>
    <cellStyle name="ИТОГОВЫЙ 9" xfId="1632"/>
    <cellStyle name="ИТОГОВЫЙ_1" xfId="1633"/>
    <cellStyle name="Контрольная ячейка 2" xfId="1634"/>
    <cellStyle name="Контрольная ячейка 2 2" xfId="1635"/>
    <cellStyle name="Контрольная ячейка 2_46EE.2011(v1.0)" xfId="1636"/>
    <cellStyle name="Контрольная ячейка 3" xfId="1637"/>
    <cellStyle name="Контрольная ячейка 3 2" xfId="1638"/>
    <cellStyle name="Контрольная ячейка 3_46EE.2011(v1.0)" xfId="1639"/>
    <cellStyle name="Контрольная ячейка 4" xfId="1640"/>
    <cellStyle name="Контрольная ячейка 4 2" xfId="1641"/>
    <cellStyle name="Контрольная ячейка 4_46EE.2011(v1.0)" xfId="1642"/>
    <cellStyle name="Контрольная ячейка 5" xfId="1643"/>
    <cellStyle name="Контрольная ячейка 5 2" xfId="1644"/>
    <cellStyle name="Контрольная ячейка 5_46EE.2011(v1.0)" xfId="1645"/>
    <cellStyle name="Контрольная ячейка 6" xfId="1646"/>
    <cellStyle name="Контрольная ячейка 6 2" xfId="1647"/>
    <cellStyle name="Контрольная ячейка 6_46EE.2011(v1.0)" xfId="1648"/>
    <cellStyle name="Контрольная ячейка 7" xfId="1649"/>
    <cellStyle name="Контрольная ячейка 7 2" xfId="1650"/>
    <cellStyle name="Контрольная ячейка 7_46EE.2011(v1.0)" xfId="1651"/>
    <cellStyle name="Контрольная ячейка 8" xfId="1652"/>
    <cellStyle name="Контрольная ячейка 8 2" xfId="1653"/>
    <cellStyle name="Контрольная ячейка 8_46EE.2011(v1.0)" xfId="1654"/>
    <cellStyle name="Контрольная ячейка 9" xfId="1655"/>
    <cellStyle name="Контрольная ячейка 9 2" xfId="1656"/>
    <cellStyle name="Контрольная ячейка 9_46EE.2011(v1.0)" xfId="1657"/>
    <cellStyle name="Миша (бланки отчетности)" xfId="1658"/>
    <cellStyle name="Мои наименования показателей" xfId="1662"/>
    <cellStyle name="Мои наименования показателей 2" xfId="1663"/>
    <cellStyle name="Мои наименования показателей 2 2" xfId="1664"/>
    <cellStyle name="Мои наименования показателей 2 3" xfId="1665"/>
    <cellStyle name="Мои наименования показателей 2 4" xfId="1666"/>
    <cellStyle name="Мои наименования показателей 2 5" xfId="1667"/>
    <cellStyle name="Мои наименования показателей 2 6" xfId="1668"/>
    <cellStyle name="Мои наименования показателей 2 7" xfId="1669"/>
    <cellStyle name="Мои наименования показателей 2 8" xfId="1670"/>
    <cellStyle name="Мои наименования показателей 2 9" xfId="1671"/>
    <cellStyle name="Мои наименования показателей 2_1" xfId="1672"/>
    <cellStyle name="Мои наименования показателей 3" xfId="1673"/>
    <cellStyle name="Мои наименования показателей 3 2" xfId="1674"/>
    <cellStyle name="Мои наименования показателей 3 3" xfId="1675"/>
    <cellStyle name="Мои наименования показателей 3 4" xfId="1676"/>
    <cellStyle name="Мои наименования показателей 3 5" xfId="1677"/>
    <cellStyle name="Мои наименования показателей 3 6" xfId="1678"/>
    <cellStyle name="Мои наименования показателей 3 7" xfId="1679"/>
    <cellStyle name="Мои наименования показателей 3 8" xfId="1680"/>
    <cellStyle name="Мои наименования показателей 3 9" xfId="1681"/>
    <cellStyle name="Мои наименования показателей 3_1" xfId="1682"/>
    <cellStyle name="Мои наименования показателей 4" xfId="1683"/>
    <cellStyle name="Мои наименования показателей 4 2" xfId="1684"/>
    <cellStyle name="Мои наименования показателей 4 3" xfId="1685"/>
    <cellStyle name="Мои наименования показателей 4 4" xfId="1686"/>
    <cellStyle name="Мои наименования показателей 4 5" xfId="1687"/>
    <cellStyle name="Мои наименования показателей 4 6" xfId="1688"/>
    <cellStyle name="Мои наименования показателей 4 7" xfId="1689"/>
    <cellStyle name="Мои наименования показателей 4 8" xfId="1690"/>
    <cellStyle name="Мои наименования показателей 4 9" xfId="1691"/>
    <cellStyle name="Мои наименования показателей 4_1" xfId="1692"/>
    <cellStyle name="Мои наименования показателей 5" xfId="1693"/>
    <cellStyle name="Мои наименования показателей 5 2" xfId="1694"/>
    <cellStyle name="Мои наименования показателей 5 3" xfId="1695"/>
    <cellStyle name="Мои наименования показателей 5 4" xfId="1696"/>
    <cellStyle name="Мои наименования показателей 5 5" xfId="1697"/>
    <cellStyle name="Мои наименования показателей 5 6" xfId="1698"/>
    <cellStyle name="Мои наименования показателей 5 7" xfId="1699"/>
    <cellStyle name="Мои наименования показателей 5 8" xfId="1700"/>
    <cellStyle name="Мои наименования показателей 5 9" xfId="1701"/>
    <cellStyle name="Мои наименования показателей 5_1" xfId="1702"/>
    <cellStyle name="Мои наименования показателей 6" xfId="1703"/>
    <cellStyle name="Мои наименования показателей 6 2" xfId="1704"/>
    <cellStyle name="Мои наименования показателей 6 3" xfId="1705"/>
    <cellStyle name="Мои наименования показателей 6_46EE.2011(v1.0)" xfId="1706"/>
    <cellStyle name="Мои наименования показателей 7" xfId="1707"/>
    <cellStyle name="Мои наименования показателей 7 2" xfId="1708"/>
    <cellStyle name="Мои наименования показателей 7 3" xfId="1709"/>
    <cellStyle name="Мои наименования показателей 7_46EE.2011(v1.0)" xfId="1710"/>
    <cellStyle name="Мои наименования показателей 8" xfId="1711"/>
    <cellStyle name="Мои наименования показателей 8 2" xfId="1712"/>
    <cellStyle name="Мои наименования показателей 8 3" xfId="1713"/>
    <cellStyle name="Мои наименования показателей 8_46EE.2011(v1.0)" xfId="1714"/>
    <cellStyle name="Мои наименования показателей_46EE.2011" xfId="1715"/>
    <cellStyle name="Мой заголовок" xfId="1659"/>
    <cellStyle name="Мой заголовок листа" xfId="1660"/>
    <cellStyle name="Мой заголовок_Новая инструкция1_фст" xfId="1661"/>
    <cellStyle name="назв фил" xfId="1716"/>
    <cellStyle name="Название 2" xfId="1717"/>
    <cellStyle name="Название 2 2" xfId="1718"/>
    <cellStyle name="Название 3" xfId="1719"/>
    <cellStyle name="Название 3 2" xfId="1720"/>
    <cellStyle name="Название 4" xfId="1721"/>
    <cellStyle name="Название 4 2" xfId="1722"/>
    <cellStyle name="Название 5" xfId="1723"/>
    <cellStyle name="Название 5 2" xfId="1724"/>
    <cellStyle name="Название 6" xfId="1725"/>
    <cellStyle name="Название 6 2" xfId="1726"/>
    <cellStyle name="Название 7" xfId="1727"/>
    <cellStyle name="Название 7 2" xfId="1728"/>
    <cellStyle name="Название 8" xfId="1729"/>
    <cellStyle name="Название 8 2" xfId="1730"/>
    <cellStyle name="Название 9" xfId="1731"/>
    <cellStyle name="Название 9 2" xfId="1732"/>
    <cellStyle name="Невидимый" xfId="1733"/>
    <cellStyle name="Нейтральный 2" xfId="1734"/>
    <cellStyle name="Нейтральный 2 2" xfId="1735"/>
    <cellStyle name="Нейтральный 3" xfId="1736"/>
    <cellStyle name="Нейтральный 3 2" xfId="1737"/>
    <cellStyle name="Нейтральный 4" xfId="1738"/>
    <cellStyle name="Нейтральный 4 2" xfId="1739"/>
    <cellStyle name="Нейтральный 5" xfId="1740"/>
    <cellStyle name="Нейтральный 5 2" xfId="1741"/>
    <cellStyle name="Нейтральный 6" xfId="1742"/>
    <cellStyle name="Нейтральный 6 2" xfId="1743"/>
    <cellStyle name="Нейтральный 7" xfId="1744"/>
    <cellStyle name="Нейтральный 7 2" xfId="1745"/>
    <cellStyle name="Нейтральный 8" xfId="1746"/>
    <cellStyle name="Нейтральный 8 2" xfId="1747"/>
    <cellStyle name="Нейтральный 9" xfId="1748"/>
    <cellStyle name="Нейтральный 9 2" xfId="1749"/>
    <cellStyle name="Низ1" xfId="1750"/>
    <cellStyle name="Низ2" xfId="1751"/>
    <cellStyle name="Обычный" xfId="0" builtinId="0"/>
    <cellStyle name="Обычный 10" xfId="39"/>
    <cellStyle name="Обычный 10 2" xfId="1752"/>
    <cellStyle name="Обычный 10 3" xfId="2074"/>
    <cellStyle name="Обычный 10 3 2" xfId="2167"/>
    <cellStyle name="Обычный 10 4" xfId="2105"/>
    <cellStyle name="Обычный 10 4 2" xfId="2189"/>
    <cellStyle name="Обычный 10 5" xfId="2129"/>
    <cellStyle name="Обычный 10 5 2" xfId="2211"/>
    <cellStyle name="Обычный 10 6" xfId="2137"/>
    <cellStyle name="Обычный 11" xfId="1753"/>
    <cellStyle name="Обычный 11 2" xfId="1754"/>
    <cellStyle name="Обычный 11 3" xfId="1755"/>
    <cellStyle name="Обычный 11 3 2" xfId="2144"/>
    <cellStyle name="Обычный 11 4" xfId="2143"/>
    <cellStyle name="Обычный 11_46EE.2011(v1.2)" xfId="1756"/>
    <cellStyle name="Обычный 12" xfId="1757"/>
    <cellStyle name="Обычный 12 2" xfId="1758"/>
    <cellStyle name="Обычный 12 3" xfId="2040"/>
    <cellStyle name="Обычный 12 3 2" xfId="1759"/>
    <cellStyle name="Обычный 12 3 2 2" xfId="2145"/>
    <cellStyle name="Обычный 12 4" xfId="2060"/>
    <cellStyle name="Обычный 13" xfId="28"/>
    <cellStyle name="Обычный 13 2" xfId="1760"/>
    <cellStyle name="Обычный 14" xfId="50"/>
    <cellStyle name="Обычный 15" xfId="2036"/>
    <cellStyle name="Обычный 16" xfId="2039"/>
    <cellStyle name="Обычный 17" xfId="2042"/>
    <cellStyle name="Обычный 18" xfId="2043"/>
    <cellStyle name="Обычный 19" xfId="2049"/>
    <cellStyle name="Обычный 2" xfId="6"/>
    <cellStyle name="Обычный 2 10 2" xfId="2041"/>
    <cellStyle name="Обычный 2 14" xfId="1761"/>
    <cellStyle name="Обычный 2 2" xfId="15"/>
    <cellStyle name="Обычный 2 2 2" xfId="40"/>
    <cellStyle name="Обычный 2 2 2 2" xfId="1763"/>
    <cellStyle name="Обычный 2 2 2 2 2" xfId="2071"/>
    <cellStyle name="Обычный 2 2 2 2 2 2" xfId="2164"/>
    <cellStyle name="Обычный 2 2 2 2 3" xfId="2102"/>
    <cellStyle name="Обычный 2 2 2 2 3 2" xfId="2186"/>
    <cellStyle name="Обычный 2 2 2 2 4" xfId="2126"/>
    <cellStyle name="Обычный 2 2 2 2 4 2" xfId="2208"/>
    <cellStyle name="Обычный 2 2 2 3" xfId="2059"/>
    <cellStyle name="Обычный 2 2 2 3 2" xfId="2153"/>
    <cellStyle name="Обычный 2 2 2 4" xfId="2091"/>
    <cellStyle name="Обычный 2 2 2 4 2" xfId="2175"/>
    <cellStyle name="Обычный 2 2 2 5" xfId="2115"/>
    <cellStyle name="Обычный 2 2 2 5 2" xfId="2197"/>
    <cellStyle name="Обычный 2 2 3" xfId="47"/>
    <cellStyle name="Обычный 2 2 3 2" xfId="1764"/>
    <cellStyle name="Обычный 2 2 3 3" xfId="2141"/>
    <cellStyle name="Обычный 2 2 4" xfId="48"/>
    <cellStyle name="Обычный 2 2 4 2" xfId="2142"/>
    <cellStyle name="Обычный 2 2 5" xfId="1762"/>
    <cellStyle name="Обычный 2 2_46EE.2011(v1.0)" xfId="1765"/>
    <cellStyle name="Обычный 2 3" xfId="46"/>
    <cellStyle name="Обычный 2 3 2" xfId="44"/>
    <cellStyle name="Обычный 2 3 2 2" xfId="1767"/>
    <cellStyle name="Обычный 2 3 2 3" xfId="2070"/>
    <cellStyle name="Обычный 2 3 2 3 2" xfId="2163"/>
    <cellStyle name="Обычный 2 3 2 4" xfId="2101"/>
    <cellStyle name="Обычный 2 3 2 4 2" xfId="2185"/>
    <cellStyle name="Обычный 2 3 2 5" xfId="2125"/>
    <cellStyle name="Обычный 2 3 2 5 2" xfId="2207"/>
    <cellStyle name="Обычный 2 3 2 6" xfId="2139"/>
    <cellStyle name="Обычный 2 3 3" xfId="1768"/>
    <cellStyle name="Обычный 2 3 4" xfId="1766"/>
    <cellStyle name="Обычный 2 3 5" xfId="2057"/>
    <cellStyle name="Обычный 2 3 5 2" xfId="2152"/>
    <cellStyle name="Обычный 2 3 6" xfId="2090"/>
    <cellStyle name="Обычный 2 3 6 2" xfId="2174"/>
    <cellStyle name="Обычный 2 3 7" xfId="2114"/>
    <cellStyle name="Обычный 2 3 7 2" xfId="2196"/>
    <cellStyle name="Обычный 2 3_46EE.2011(v1.0)" xfId="1769"/>
    <cellStyle name="Обычный 2 4" xfId="1770"/>
    <cellStyle name="Обычный 2 4 2" xfId="1771"/>
    <cellStyle name="Обычный 2 4 3" xfId="1772"/>
    <cellStyle name="Обычный 2 4_46EE.2011(v1.0)" xfId="1773"/>
    <cellStyle name="Обычный 2 5" xfId="1774"/>
    <cellStyle name="Обычный 2 5 2" xfId="1775"/>
    <cellStyle name="Обычный 2 5 3" xfId="1776"/>
    <cellStyle name="Обычный 2 5_46EE.2011(v1.0)" xfId="1777"/>
    <cellStyle name="Обычный 2 6" xfId="1778"/>
    <cellStyle name="Обычный 2 6 2" xfId="1779"/>
    <cellStyle name="Обычный 2 6 3" xfId="1780"/>
    <cellStyle name="Обычный 2 6_46EE.2011(v1.0)" xfId="1781"/>
    <cellStyle name="Обычный 2 7" xfId="1782"/>
    <cellStyle name="Обычный 2_1" xfId="1783"/>
    <cellStyle name="Обычный 20" xfId="2076"/>
    <cellStyle name="Обычный 21" xfId="2077"/>
    <cellStyle name="Обычный 22" xfId="2079"/>
    <cellStyle name="Обычный 23" xfId="2082"/>
    <cellStyle name="Обычный 24" xfId="2106"/>
    <cellStyle name="Обычный 3" xfId="14"/>
    <cellStyle name="Обычный 3 2" xfId="29"/>
    <cellStyle name="Обычный 3 2 2" xfId="35"/>
    <cellStyle name="Обычный 3 2 2 2" xfId="2069"/>
    <cellStyle name="Обычный 3 2 2 2 2" xfId="2100"/>
    <cellStyle name="Обычный 3 2 2 2 2 2" xfId="2184"/>
    <cellStyle name="Обычный 3 2 2 2 3" xfId="2124"/>
    <cellStyle name="Обычный 3 2 2 2 3 2" xfId="2206"/>
    <cellStyle name="Обычный 3 2 2 2 4" xfId="2162"/>
    <cellStyle name="Обычный 3 2 2 3" xfId="2056"/>
    <cellStyle name="Обычный 3 2 2 3 2" xfId="2151"/>
    <cellStyle name="Обычный 3 2 2 4" xfId="2089"/>
    <cellStyle name="Обычный 3 2 2 4 2" xfId="2173"/>
    <cellStyle name="Обычный 3 2 2 5" xfId="2113"/>
    <cellStyle name="Обычный 3 2 2 5 2" xfId="2195"/>
    <cellStyle name="Обычный 3 2 2 6" xfId="2136"/>
    <cellStyle name="Обычный 3 2 3" xfId="3"/>
    <cellStyle name="Обычный 3 2 3 2" xfId="2066"/>
    <cellStyle name="Обычный 3 2 3 2 2" xfId="2159"/>
    <cellStyle name="Обычный 3 2 3 3" xfId="2097"/>
    <cellStyle name="Обычный 3 2 3 3 2" xfId="2181"/>
    <cellStyle name="Обычный 3 2 3 4" xfId="2121"/>
    <cellStyle name="Обычный 3 2 3 4 2" xfId="2203"/>
    <cellStyle name="Обычный 3 2 3 5" xfId="2130"/>
    <cellStyle name="Обычный 3 2 4" xfId="1785"/>
    <cellStyle name="Обычный 3 2 5" xfId="2053"/>
    <cellStyle name="Обычный 3 2 5 2" xfId="2148"/>
    <cellStyle name="Обычный 3 2 6" xfId="2086"/>
    <cellStyle name="Обычный 3 2 6 2" xfId="2170"/>
    <cellStyle name="Обычный 3 2 7" xfId="2110"/>
    <cellStyle name="Обычный 3 2 7 2" xfId="2192"/>
    <cellStyle name="Обычный 3 2 8" xfId="2133"/>
    <cellStyle name="Обычный 3 3" xfId="33"/>
    <cellStyle name="Обычный 3 3 2" xfId="1787"/>
    <cellStyle name="Обычный 3 3 2 2" xfId="2067"/>
    <cellStyle name="Обычный 3 3 2 2 2" xfId="2160"/>
    <cellStyle name="Обычный 3 3 2 3" xfId="2098"/>
    <cellStyle name="Обычный 3 3 2 3 2" xfId="2182"/>
    <cellStyle name="Обычный 3 3 2 4" xfId="2122"/>
    <cellStyle name="Обычный 3 3 2 4 2" xfId="2204"/>
    <cellStyle name="Обычный 3 3 3" xfId="1786"/>
    <cellStyle name="Обычный 3 3 4" xfId="2054"/>
    <cellStyle name="Обычный 3 3 4 2" xfId="2149"/>
    <cellStyle name="Обычный 3 3 5" xfId="2087"/>
    <cellStyle name="Обычный 3 3 5 2" xfId="2171"/>
    <cellStyle name="Обычный 3 3 6" xfId="2111"/>
    <cellStyle name="Обычный 3 3 6 2" xfId="2193"/>
    <cellStyle name="Обычный 3 3 7" xfId="2134"/>
    <cellStyle name="Обычный 3 4" xfId="1784"/>
    <cellStyle name="Обычный 3 4 2" xfId="2064"/>
    <cellStyle name="Обычный 3 4 2 2" xfId="2157"/>
    <cellStyle name="Обычный 3 4 3" xfId="2095"/>
    <cellStyle name="Обычный 3 4 3 2" xfId="2179"/>
    <cellStyle name="Обычный 3 4 4" xfId="2119"/>
    <cellStyle name="Обычный 3 4 4 2" xfId="2201"/>
    <cellStyle name="Обычный 3 5" xfId="2046"/>
    <cellStyle name="Обычный 3 5 2" xfId="2146"/>
    <cellStyle name="Обычный 3 6" xfId="2083"/>
    <cellStyle name="Обычный 3 6 2" xfId="2168"/>
    <cellStyle name="Обычный 3 7" xfId="41"/>
    <cellStyle name="Обычный 3 7 2" xfId="2138"/>
    <cellStyle name="Обычный 3 8" xfId="2107"/>
    <cellStyle name="Обычный 3 8 2" xfId="2190"/>
    <cellStyle name="Обычный 3 9" xfId="2131"/>
    <cellStyle name="Обычный 4" xfId="23"/>
    <cellStyle name="Обычный 4 2" xfId="34"/>
    <cellStyle name="Обычный 4 2 2" xfId="1790"/>
    <cellStyle name="Обычный 4 2 2 2" xfId="2068"/>
    <cellStyle name="Обычный 4 2 2 2 2" xfId="2161"/>
    <cellStyle name="Обычный 4 2 2 3" xfId="2099"/>
    <cellStyle name="Обычный 4 2 2 3 2" xfId="2183"/>
    <cellStyle name="Обычный 4 2 2 4" xfId="2123"/>
    <cellStyle name="Обычный 4 2 2 4 2" xfId="2205"/>
    <cellStyle name="Обычный 4 2 3" xfId="1789"/>
    <cellStyle name="Обычный 4 2 4" xfId="2055"/>
    <cellStyle name="Обычный 4 2 4 2" xfId="2150"/>
    <cellStyle name="Обычный 4 2 5" xfId="2088"/>
    <cellStyle name="Обычный 4 2 5 2" xfId="2172"/>
    <cellStyle name="Обычный 4 2 6" xfId="2112"/>
    <cellStyle name="Обычный 4 2 6 2" xfId="2194"/>
    <cellStyle name="Обычный 4 2 7" xfId="2135"/>
    <cellStyle name="Обычный 4 2_BALANCE.WARM.2011YEAR(v1.5)" xfId="1791"/>
    <cellStyle name="Обычный 4 3" xfId="1788"/>
    <cellStyle name="Обычный 4 3 2" xfId="2065"/>
    <cellStyle name="Обычный 4 3 2 2" xfId="2158"/>
    <cellStyle name="Обычный 4 3 3" xfId="2096"/>
    <cellStyle name="Обычный 4 3 3 2" xfId="2180"/>
    <cellStyle name="Обычный 4 3 4" xfId="2120"/>
    <cellStyle name="Обычный 4 3 4 2" xfId="2202"/>
    <cellStyle name="Обычный 4 4" xfId="2038"/>
    <cellStyle name="Обычный 4 5" xfId="2037"/>
    <cellStyle name="Обычный 4 6" xfId="2050"/>
    <cellStyle name="Обычный 4 6 2" xfId="2147"/>
    <cellStyle name="Обычный 4 7" xfId="2084"/>
    <cellStyle name="Обычный 4 7 2" xfId="2169"/>
    <cellStyle name="Обычный 4 8" xfId="2108"/>
    <cellStyle name="Обычный 4 8 2" xfId="2191"/>
    <cellStyle name="Обычный 4 9" xfId="2132"/>
    <cellStyle name="Обычный 4_ARMRAZR" xfId="1792"/>
    <cellStyle name="Обычный 5" xfId="36"/>
    <cellStyle name="Обычный 5 2" xfId="1793"/>
    <cellStyle name="Обычный 6" xfId="4"/>
    <cellStyle name="Обычный 6 2" xfId="37"/>
    <cellStyle name="Обычный 6 3" xfId="1794"/>
    <cellStyle name="Обычный 7" xfId="1795"/>
    <cellStyle name="Обычный 7 2" xfId="2072"/>
    <cellStyle name="Обычный 7 2 2" xfId="2103"/>
    <cellStyle name="Обычный 7 2 2 2" xfId="2187"/>
    <cellStyle name="Обычный 7 2 3" xfId="2127"/>
    <cellStyle name="Обычный 7 2 3 2" xfId="2209"/>
    <cellStyle name="Обычный 7 2 4" xfId="2165"/>
    <cellStyle name="Обычный 7 3" xfId="2061"/>
    <cellStyle name="Обычный 7 3 2" xfId="2154"/>
    <cellStyle name="Обычный 7 4" xfId="2092"/>
    <cellStyle name="Обычный 7 4 2" xfId="2176"/>
    <cellStyle name="Обычный 7 5" xfId="2116"/>
    <cellStyle name="Обычный 7 5 2" xfId="2198"/>
    <cellStyle name="Обычный 8" xfId="1796"/>
    <cellStyle name="Обычный 8 2" xfId="2073"/>
    <cellStyle name="Обычный 8 2 2" xfId="2104"/>
    <cellStyle name="Обычный 8 2 2 2" xfId="2188"/>
    <cellStyle name="Обычный 8 2 3" xfId="2128"/>
    <cellStyle name="Обычный 8 2 3 2" xfId="2210"/>
    <cellStyle name="Обычный 8 2 4" xfId="2166"/>
    <cellStyle name="Обычный 8 3" xfId="2062"/>
    <cellStyle name="Обычный 8 3 2" xfId="2155"/>
    <cellStyle name="Обычный 8 4" xfId="2093"/>
    <cellStyle name="Обычный 8 4 2" xfId="2177"/>
    <cellStyle name="Обычный 8 5" xfId="2117"/>
    <cellStyle name="Обычный 8 5 2" xfId="2199"/>
    <cellStyle name="Обычный 9" xfId="1797"/>
    <cellStyle name="Обычный 9 2" xfId="1798"/>
    <cellStyle name="Обычный 9 3" xfId="2063"/>
    <cellStyle name="Обычный 9 3 2" xfId="2156"/>
    <cellStyle name="Обычный 9 4" xfId="2094"/>
    <cellStyle name="Обычный 9 4 2" xfId="2178"/>
    <cellStyle name="Обычный 9 5" xfId="2118"/>
    <cellStyle name="Обычный 9 5 2" xfId="2200"/>
    <cellStyle name="Обычный_Condition" xfId="2045"/>
    <cellStyle name="Обычный_Копия Condition-все вар13.12.08-утнах17-50" xfId="2051"/>
    <cellStyle name="Обычный_Форма 1-П после коррект  (2)" xfId="49"/>
    <cellStyle name="Обычный_Форма3" xfId="43"/>
    <cellStyle name="Ошибка" xfId="1799"/>
    <cellStyle name="Плохой 2" xfId="1800"/>
    <cellStyle name="Плохой 2 2" xfId="1801"/>
    <cellStyle name="Плохой 3" xfId="1802"/>
    <cellStyle name="Плохой 3 2" xfId="1803"/>
    <cellStyle name="Плохой 4" xfId="1804"/>
    <cellStyle name="Плохой 4 2" xfId="1805"/>
    <cellStyle name="Плохой 5" xfId="1806"/>
    <cellStyle name="Плохой 5 2" xfId="1807"/>
    <cellStyle name="Плохой 6" xfId="1808"/>
    <cellStyle name="Плохой 6 2" xfId="1809"/>
    <cellStyle name="Плохой 7" xfId="1810"/>
    <cellStyle name="Плохой 7 2" xfId="1811"/>
    <cellStyle name="Плохой 8" xfId="1812"/>
    <cellStyle name="Плохой 8 2" xfId="1813"/>
    <cellStyle name="Плохой 9" xfId="1814"/>
    <cellStyle name="Плохой 9 2" xfId="1815"/>
    <cellStyle name="По центру с переносом" xfId="1816"/>
    <cellStyle name="По ширине с переносом" xfId="1817"/>
    <cellStyle name="Подгруппа" xfId="1818"/>
    <cellStyle name="Поле ввода" xfId="1819"/>
    <cellStyle name="Пояснение 2" xfId="1820"/>
    <cellStyle name="Пояснение 2 2" xfId="1821"/>
    <cellStyle name="Пояснение 3" xfId="1822"/>
    <cellStyle name="Пояснение 3 2" xfId="1823"/>
    <cellStyle name="Пояснение 4" xfId="1824"/>
    <cellStyle name="Пояснение 4 2" xfId="1825"/>
    <cellStyle name="Пояснение 5" xfId="1826"/>
    <cellStyle name="Пояснение 5 2" xfId="1827"/>
    <cellStyle name="Пояснение 6" xfId="1828"/>
    <cellStyle name="Пояснение 6 2" xfId="1829"/>
    <cellStyle name="Пояснение 7" xfId="1830"/>
    <cellStyle name="Пояснение 7 2" xfId="1831"/>
    <cellStyle name="Пояснение 8" xfId="1832"/>
    <cellStyle name="Пояснение 8 2" xfId="1833"/>
    <cellStyle name="Пояснение 9" xfId="1834"/>
    <cellStyle name="Пояснение 9 2" xfId="1835"/>
    <cellStyle name="Примечание 10" xfId="1836"/>
    <cellStyle name="Примечание 10 2" xfId="1837"/>
    <cellStyle name="Примечание 10 3" xfId="1838"/>
    <cellStyle name="Примечание 10_46EE.2011(v1.0)" xfId="1839"/>
    <cellStyle name="Примечание 11" xfId="1840"/>
    <cellStyle name="Примечание 11 2" xfId="1841"/>
    <cellStyle name="Примечание 11 3" xfId="1842"/>
    <cellStyle name="Примечание 11_46EE.2011(v1.0)" xfId="1843"/>
    <cellStyle name="Примечание 12" xfId="1844"/>
    <cellStyle name="Примечание 12 2" xfId="1845"/>
    <cellStyle name="Примечание 12 3" xfId="1846"/>
    <cellStyle name="Примечание 12_46EE.2011(v1.0)" xfId="1847"/>
    <cellStyle name="Примечание 2" xfId="1848"/>
    <cellStyle name="Примечание 2 2" xfId="1849"/>
    <cellStyle name="Примечание 2 3" xfId="1850"/>
    <cellStyle name="Примечание 2 4" xfId="1851"/>
    <cellStyle name="Примечание 2 5" xfId="1852"/>
    <cellStyle name="Примечание 2 6" xfId="1853"/>
    <cellStyle name="Примечание 2 7" xfId="1854"/>
    <cellStyle name="Примечание 2 8" xfId="1855"/>
    <cellStyle name="Примечание 2 9" xfId="1856"/>
    <cellStyle name="Примечание 2_46EE.2011(v1.0)" xfId="1857"/>
    <cellStyle name="Примечание 3" xfId="1858"/>
    <cellStyle name="Примечание 3 2" xfId="1859"/>
    <cellStyle name="Примечание 3 3" xfId="1860"/>
    <cellStyle name="Примечание 3 4" xfId="1861"/>
    <cellStyle name="Примечание 3 5" xfId="1862"/>
    <cellStyle name="Примечание 3 6" xfId="1863"/>
    <cellStyle name="Примечание 3 7" xfId="1864"/>
    <cellStyle name="Примечание 3 8" xfId="1865"/>
    <cellStyle name="Примечание 3 9" xfId="1866"/>
    <cellStyle name="Примечание 3_46EE.2011(v1.0)" xfId="1867"/>
    <cellStyle name="Примечание 4" xfId="1868"/>
    <cellStyle name="Примечание 4 2" xfId="1869"/>
    <cellStyle name="Примечание 4 3" xfId="1870"/>
    <cellStyle name="Примечание 4 4" xfId="1871"/>
    <cellStyle name="Примечание 4 5" xfId="1872"/>
    <cellStyle name="Примечание 4 6" xfId="1873"/>
    <cellStyle name="Примечание 4 7" xfId="1874"/>
    <cellStyle name="Примечание 4 8" xfId="1875"/>
    <cellStyle name="Примечание 4 9" xfId="1876"/>
    <cellStyle name="Примечание 4_46EE.2011(v1.0)" xfId="1877"/>
    <cellStyle name="Примечание 5" xfId="1878"/>
    <cellStyle name="Примечание 5 2" xfId="1879"/>
    <cellStyle name="Примечание 5 3" xfId="1880"/>
    <cellStyle name="Примечание 5 4" xfId="1881"/>
    <cellStyle name="Примечание 5 5" xfId="1882"/>
    <cellStyle name="Примечание 5 6" xfId="1883"/>
    <cellStyle name="Примечание 5 7" xfId="1884"/>
    <cellStyle name="Примечание 5 8" xfId="1885"/>
    <cellStyle name="Примечание 5 9" xfId="1886"/>
    <cellStyle name="Примечание 5_46EE.2011(v1.0)" xfId="1887"/>
    <cellStyle name="Примечание 6" xfId="1888"/>
    <cellStyle name="Примечание 6 2" xfId="1889"/>
    <cellStyle name="Примечание 6_46EE.2011(v1.0)" xfId="1890"/>
    <cellStyle name="Примечание 7" xfId="1891"/>
    <cellStyle name="Примечание 7 2" xfId="1892"/>
    <cellStyle name="Примечание 7_46EE.2011(v1.0)" xfId="1893"/>
    <cellStyle name="Примечание 8" xfId="1894"/>
    <cellStyle name="Примечание 8 2" xfId="1895"/>
    <cellStyle name="Примечание 8_46EE.2011(v1.0)" xfId="1896"/>
    <cellStyle name="Примечание 9" xfId="1897"/>
    <cellStyle name="Примечание 9 2" xfId="1898"/>
    <cellStyle name="Примечание 9_46EE.2011(v1.0)" xfId="1899"/>
    <cellStyle name="Продукт" xfId="1900"/>
    <cellStyle name="Процентный" xfId="38" builtinId="5"/>
    <cellStyle name="Процентный 10" xfId="1901"/>
    <cellStyle name="Процентный 2" xfId="7"/>
    <cellStyle name="Процентный 2 2" xfId="1903"/>
    <cellStyle name="Процентный 2 3" xfId="1904"/>
    <cellStyle name="Процентный 2 4" xfId="1902"/>
    <cellStyle name="Процентный 3" xfId="1905"/>
    <cellStyle name="Процентный 3 2" xfId="1906"/>
    <cellStyle name="Процентный 3 3" xfId="1907"/>
    <cellStyle name="Процентный 4" xfId="1908"/>
    <cellStyle name="Процентный 4 2" xfId="1909"/>
    <cellStyle name="Процентный 4 3" xfId="1910"/>
    <cellStyle name="Процентный 5" xfId="1911"/>
    <cellStyle name="Процентный 9" xfId="1912"/>
    <cellStyle name="Разница" xfId="1913"/>
    <cellStyle name="Рамки" xfId="1914"/>
    <cellStyle name="Сводная таблица" xfId="1915"/>
    <cellStyle name="Связанная ячейка 2" xfId="1916"/>
    <cellStyle name="Связанная ячейка 2 2" xfId="1917"/>
    <cellStyle name="Связанная ячейка 2_46EE.2011(v1.0)" xfId="1918"/>
    <cellStyle name="Связанная ячейка 3" xfId="1919"/>
    <cellStyle name="Связанная ячейка 3 2" xfId="1920"/>
    <cellStyle name="Связанная ячейка 3_46EE.2011(v1.0)" xfId="1921"/>
    <cellStyle name="Связанная ячейка 4" xfId="1922"/>
    <cellStyle name="Связанная ячейка 4 2" xfId="1923"/>
    <cellStyle name="Связанная ячейка 4_46EE.2011(v1.0)" xfId="1924"/>
    <cellStyle name="Связанная ячейка 5" xfId="1925"/>
    <cellStyle name="Связанная ячейка 5 2" xfId="1926"/>
    <cellStyle name="Связанная ячейка 5_46EE.2011(v1.0)" xfId="1927"/>
    <cellStyle name="Связанная ячейка 6" xfId="1928"/>
    <cellStyle name="Связанная ячейка 6 2" xfId="1929"/>
    <cellStyle name="Связанная ячейка 6_46EE.2011(v1.0)" xfId="1930"/>
    <cellStyle name="Связанная ячейка 7" xfId="1931"/>
    <cellStyle name="Связанная ячейка 7 2" xfId="1932"/>
    <cellStyle name="Связанная ячейка 7_46EE.2011(v1.0)" xfId="1933"/>
    <cellStyle name="Связанная ячейка 8" xfId="1934"/>
    <cellStyle name="Связанная ячейка 8 2" xfId="1935"/>
    <cellStyle name="Связанная ячейка 8_46EE.2011(v1.0)" xfId="1936"/>
    <cellStyle name="Связанная ячейка 9" xfId="1937"/>
    <cellStyle name="Связанная ячейка 9 2" xfId="1938"/>
    <cellStyle name="Связанная ячейка 9_46EE.2011(v1.0)" xfId="1939"/>
    <cellStyle name="Стиль 1" xfId="8"/>
    <cellStyle name="Стиль 1 2" xfId="1940"/>
    <cellStyle name="Стиль 1 2 2" xfId="1941"/>
    <cellStyle name="Стиль 1 2_46EP.2012(v0.1)" xfId="1942"/>
    <cellStyle name="Стиль 1 3" xfId="2044"/>
    <cellStyle name="Стиль 1 4" xfId="2078"/>
    <cellStyle name="Стиль 1 5" xfId="2080"/>
    <cellStyle name="Стиль 1 6" xfId="2081"/>
    <cellStyle name="Стиль 1_Новая инструкция1_фст" xfId="1943"/>
    <cellStyle name="Субсчет" xfId="1944"/>
    <cellStyle name="Счет" xfId="1945"/>
    <cellStyle name="ТЕКСТ" xfId="1946"/>
    <cellStyle name="ТЕКСТ 2" xfId="1947"/>
    <cellStyle name="ТЕКСТ 3" xfId="1948"/>
    <cellStyle name="ТЕКСТ 4" xfId="1949"/>
    <cellStyle name="ТЕКСТ 5" xfId="1950"/>
    <cellStyle name="ТЕКСТ 6" xfId="1951"/>
    <cellStyle name="ТЕКСТ 7" xfId="1952"/>
    <cellStyle name="ТЕКСТ 8" xfId="1953"/>
    <cellStyle name="ТЕКСТ 9" xfId="1954"/>
    <cellStyle name="Текст предупреждения 2" xfId="1955"/>
    <cellStyle name="Текст предупреждения 2 2" xfId="1956"/>
    <cellStyle name="Текст предупреждения 3" xfId="1957"/>
    <cellStyle name="Текст предупреждения 3 2" xfId="1958"/>
    <cellStyle name="Текст предупреждения 4" xfId="1959"/>
    <cellStyle name="Текст предупреждения 4 2" xfId="1960"/>
    <cellStyle name="Текст предупреждения 5" xfId="1961"/>
    <cellStyle name="Текст предупреждения 5 2" xfId="1962"/>
    <cellStyle name="Текст предупреждения 6" xfId="1963"/>
    <cellStyle name="Текст предупреждения 6 2" xfId="1964"/>
    <cellStyle name="Текст предупреждения 7" xfId="1965"/>
    <cellStyle name="Текст предупреждения 7 2" xfId="1966"/>
    <cellStyle name="Текст предупреждения 8" xfId="1967"/>
    <cellStyle name="Текст предупреждения 8 2" xfId="1968"/>
    <cellStyle name="Текст предупреждения 9" xfId="1969"/>
    <cellStyle name="Текст предупреждения 9 2" xfId="1970"/>
    <cellStyle name="Текстовый" xfId="1971"/>
    <cellStyle name="Текстовый 2" xfId="1972"/>
    <cellStyle name="Текстовый 3" xfId="1973"/>
    <cellStyle name="Текстовый 4" xfId="1974"/>
    <cellStyle name="Текстовый 5" xfId="1975"/>
    <cellStyle name="Текстовый 6" xfId="1976"/>
    <cellStyle name="Текстовый 7" xfId="1977"/>
    <cellStyle name="Текстовый 8" xfId="1978"/>
    <cellStyle name="Текстовый 9" xfId="1979"/>
    <cellStyle name="Текстовый_1" xfId="1980"/>
    <cellStyle name="Тысячи [0]_22гк" xfId="1981"/>
    <cellStyle name="Тысячи_22гк" xfId="1982"/>
    <cellStyle name="ФИКСИРОВАННЫЙ" xfId="1983"/>
    <cellStyle name="ФИКСИРОВАННЫЙ 2" xfId="1984"/>
    <cellStyle name="ФИКСИРОВАННЫЙ 3" xfId="1985"/>
    <cellStyle name="ФИКСИРОВАННЫЙ 4" xfId="1986"/>
    <cellStyle name="ФИКСИРОВАННЫЙ 5" xfId="1987"/>
    <cellStyle name="ФИКСИРОВАННЫЙ 6" xfId="1988"/>
    <cellStyle name="ФИКСИРОВАННЫЙ 7" xfId="1989"/>
    <cellStyle name="ФИКСИРОВАННЫЙ 8" xfId="1990"/>
    <cellStyle name="ФИКСИРОВАННЫЙ 9" xfId="1991"/>
    <cellStyle name="ФИКСИРОВАННЫЙ_1" xfId="1992"/>
    <cellStyle name="Финансовый" xfId="1" builtinId="3"/>
    <cellStyle name="Финансовый 2" xfId="9"/>
    <cellStyle name="Финансовый 2 2" xfId="30"/>
    <cellStyle name="Финансовый 2 2 2" xfId="1995"/>
    <cellStyle name="Финансовый 2 2 3" xfId="1994"/>
    <cellStyle name="Финансовый 2 2_INDEX.STATION.2012(v1.0)_" xfId="1996"/>
    <cellStyle name="Финансовый 2 3" xfId="45"/>
    <cellStyle name="Финансовый 2 3 2" xfId="1997"/>
    <cellStyle name="Финансовый 2 3 3" xfId="2140"/>
    <cellStyle name="Финансовый 2 4" xfId="1993"/>
    <cellStyle name="Финансовый 2_46EE.2011(v1.0)" xfId="1998"/>
    <cellStyle name="Финансовый 3" xfId="10"/>
    <cellStyle name="Финансовый 3 2" xfId="31"/>
    <cellStyle name="Финансовый 3 2 2" xfId="2000"/>
    <cellStyle name="Финансовый 3 3" xfId="2001"/>
    <cellStyle name="Финансовый 3 4" xfId="2002"/>
    <cellStyle name="Финансовый 3 5" xfId="1999"/>
    <cellStyle name="Финансовый 3_INDEX.STATION.2012(v1.0)_" xfId="2003"/>
    <cellStyle name="Финансовый 4" xfId="11"/>
    <cellStyle name="Финансовый 4 2" xfId="32"/>
    <cellStyle name="Финансовый 5" xfId="27"/>
    <cellStyle name="Финансовый 6" xfId="26"/>
    <cellStyle name="Финансовый 7" xfId="2052"/>
    <cellStyle name="Финансовый 8" xfId="2085"/>
    <cellStyle name="Финансовый 9" xfId="2109"/>
    <cellStyle name="Финансовый_Прогноз цен 2011_Коковин_12.08 2 2" xfId="2"/>
    <cellStyle name="Финансовый0[0]_FU_bal" xfId="2004"/>
    <cellStyle name="Формула" xfId="2005"/>
    <cellStyle name="Формула 2" xfId="2006"/>
    <cellStyle name="Формула 3" xfId="2007"/>
    <cellStyle name="Формула_A РТ 2009 Рязаньэнерго" xfId="2008"/>
    <cellStyle name="ФормулаВБ" xfId="2009"/>
    <cellStyle name="ФормулаНаКонтроль" xfId="2010"/>
    <cellStyle name="Хороший 2" xfId="2011"/>
    <cellStyle name="Хороший 2 2" xfId="2012"/>
    <cellStyle name="Хороший 3" xfId="2013"/>
    <cellStyle name="Хороший 3 2" xfId="2014"/>
    <cellStyle name="Хороший 4" xfId="2015"/>
    <cellStyle name="Хороший 4 2" xfId="2016"/>
    <cellStyle name="Хороший 5" xfId="2017"/>
    <cellStyle name="Хороший 5 2" xfId="2018"/>
    <cellStyle name="Хороший 6" xfId="2019"/>
    <cellStyle name="Хороший 6 2" xfId="2020"/>
    <cellStyle name="Хороший 7" xfId="2021"/>
    <cellStyle name="Хороший 7 2" xfId="2022"/>
    <cellStyle name="Хороший 8" xfId="2023"/>
    <cellStyle name="Хороший 8 2" xfId="2024"/>
    <cellStyle name="Хороший 9" xfId="2025"/>
    <cellStyle name="Хороший 9 2" xfId="2026"/>
    <cellStyle name="Цена_продукта" xfId="2027"/>
    <cellStyle name="Цифры по центру с десятыми" xfId="2028"/>
    <cellStyle name="число" xfId="2029"/>
    <cellStyle name="Џђћ–…ќ’ќ›‰" xfId="2030"/>
    <cellStyle name="Шапка" xfId="2031"/>
    <cellStyle name="Шапка таблицы" xfId="2032"/>
    <cellStyle name="ШАУ" xfId="2033"/>
    <cellStyle name="標準_PL-CF sheet" xfId="2034"/>
    <cellStyle name="㼿" xfId="16"/>
    <cellStyle name="㼿?" xfId="17"/>
    <cellStyle name="㼿㼿" xfId="18"/>
    <cellStyle name="㼿㼿 2" xfId="2058"/>
    <cellStyle name="㼿㼿?" xfId="19"/>
    <cellStyle name="㼿㼿㼿" xfId="12"/>
    <cellStyle name="㼿㼿㼿 2" xfId="25"/>
    <cellStyle name="㼿㼿㼿?" xfId="13"/>
    <cellStyle name="㼿㼿㼿? 2" xfId="24"/>
    <cellStyle name="㼿㼿㼿㼿" xfId="20"/>
    <cellStyle name="㼿㼿㼿㼿?" xfId="21"/>
    <cellStyle name="㼿㼿㼿㼿㼿" xfId="22"/>
    <cellStyle name="䁺_x0001_" xfId="203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850446</xdr:colOff>
      <xdr:row>18</xdr:row>
      <xdr:rowOff>90353</xdr:rowOff>
    </xdr:from>
    <xdr:to>
      <xdr:col>28</xdr:col>
      <xdr:colOff>974301</xdr:colOff>
      <xdr:row>18</xdr:row>
      <xdr:rowOff>136072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7751767" y="3805103"/>
          <a:ext cx="12385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4.5\Users\ZiminaTs\AppData\Local\Microsoft\Windows\Temporary%20Internet%20Files\Content.Outlook\YY5UPVMP\&#1042;&#1099;&#1088;&#1091;&#1095;&#1082;&#1072;%20&#1086;&#1090;%20&#1088;&#1077;&#1072;&#1083;&#1080;&#1079;&#1072;&#1094;&#1080;&#1080;%20&#1074;%20&#1073;&#1086;&#1076;.&#1088;-&#1085;&#1077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4.5\Users\ZiminaTs\AppData\Local\Microsoft\Windows\Temporary%20Internet%20Files\Content.Outlook\YY5UPVMP\&#1042;&#1099;&#1088;&#1091;&#1095;&#1082;&#1072;%20&#1086;&#1090;%20&#1088;&#1077;&#1072;&#1083;&#1080;&#1079;&#1072;&#1094;&#1080;&#1080;%20&#1074;%20&#1073;&#1086;&#1076;.&#1088;-&#1085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ный баланс"/>
      <sheetName val="Мощность"/>
      <sheetName val="Электроэнергия"/>
      <sheetName val="Выручка"/>
      <sheetName val="Передача"/>
      <sheetName val="Передача факт 1 пол 2015"/>
      <sheetName val="Инфраструктура"/>
      <sheetName val="Покупка ээ(м) от факт 2015"/>
      <sheetName val="Цена ВР"/>
      <sheetName val="Расчет объема ВР"/>
      <sheetName val="Покупка ОПТ на 2016"/>
      <sheetName val="СН"/>
      <sheetName val="СН МГЭС"/>
      <sheetName val="Население выручка"/>
      <sheetName val="ВЭ выручка"/>
      <sheetName val="МГЭС выручка"/>
      <sheetName val="Выручка прочие"/>
      <sheetName val="Покупка ээ(м) от факта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3">
          <cell r="B13">
            <v>225796.3708978924</v>
          </cell>
        </row>
        <row r="14">
          <cell r="B14">
            <v>245550.97195357835</v>
          </cell>
        </row>
        <row r="15">
          <cell r="B15">
            <v>262783.37078651687</v>
          </cell>
        </row>
      </sheetData>
      <sheetData sheetId="9">
        <row r="11">
          <cell r="K11">
            <v>9.5274672372699172</v>
          </cell>
          <cell r="L11">
            <v>5.5779765064557996</v>
          </cell>
          <cell r="M11">
            <v>4.4368554564322285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ный баланс"/>
      <sheetName val="Мощность"/>
      <sheetName val="Электроэнергия"/>
      <sheetName val="Выручка"/>
      <sheetName val="Передача"/>
      <sheetName val="Передача факт 1 пол 2015"/>
      <sheetName val="Инфраструктура"/>
      <sheetName val="Покупка ээ(м) от факт 2015"/>
      <sheetName val="Цена ВР"/>
      <sheetName val="Расчет объема ВР"/>
      <sheetName val="Покупка ОПТ на 2016"/>
      <sheetName val="СН"/>
      <sheetName val="СН МГЭС"/>
      <sheetName val="Население выручка"/>
      <sheetName val="ВЭ выручка"/>
      <sheetName val="МГЭС выручка"/>
      <sheetName val="Выручка прочие"/>
      <sheetName val="Покупка ээ(м) от факта 2014"/>
    </sheetNames>
    <sheetDataSet>
      <sheetData sheetId="0">
        <row r="7">
          <cell r="B7">
            <v>9309.8449999999993</v>
          </cell>
          <cell r="C7">
            <v>164.33199999999999</v>
          </cell>
          <cell r="D7">
            <v>116.771</v>
          </cell>
          <cell r="J7">
            <v>61032.279905999305</v>
          </cell>
          <cell r="K7">
            <v>9087.8485250073118</v>
          </cell>
        </row>
        <row r="8">
          <cell r="B8">
            <v>6725.7884999999997</v>
          </cell>
          <cell r="C8">
            <v>145.71299999999999</v>
          </cell>
          <cell r="D8">
            <v>99.314999999999998</v>
          </cell>
          <cell r="J8">
            <v>56065.182705363775</v>
          </cell>
          <cell r="K8">
            <v>7591.9765017157815</v>
          </cell>
        </row>
        <row r="9">
          <cell r="B9">
            <v>7967.2910000000002</v>
          </cell>
          <cell r="C9">
            <v>118.444</v>
          </cell>
          <cell r="D9">
            <v>113.75</v>
          </cell>
          <cell r="J9">
            <v>54735.545636307193</v>
          </cell>
          <cell r="K9">
            <v>6834.0700019363994</v>
          </cell>
        </row>
        <row r="11">
          <cell r="B11">
            <v>11219.704900000001</v>
          </cell>
          <cell r="C11">
            <v>74.974000000000004</v>
          </cell>
          <cell r="D11">
            <v>345.8</v>
          </cell>
          <cell r="J11">
            <v>57386.009471686557</v>
          </cell>
          <cell r="K11">
            <v>4579.7054831425648</v>
          </cell>
        </row>
        <row r="12">
          <cell r="B12">
            <v>38213.557500000003</v>
          </cell>
          <cell r="C12">
            <v>60.691000000000003</v>
          </cell>
          <cell r="D12">
            <v>882.99199999999996</v>
          </cell>
          <cell r="J12">
            <v>63044.538299143576</v>
          </cell>
          <cell r="K12">
            <v>5660.8899181515735</v>
          </cell>
        </row>
        <row r="13">
          <cell r="B13">
            <v>59679.994200000001</v>
          </cell>
          <cell r="C13">
            <v>67.641000000000005</v>
          </cell>
          <cell r="D13">
            <v>1105.2650000000001</v>
          </cell>
          <cell r="J13">
            <v>61483.382612644462</v>
          </cell>
          <cell r="K13">
            <v>5066.7080165484558</v>
          </cell>
        </row>
        <row r="16">
          <cell r="B16">
            <v>57717.033600000002</v>
          </cell>
          <cell r="C16">
            <v>70.007000000000005</v>
          </cell>
          <cell r="D16">
            <v>974.47900000000004</v>
          </cell>
          <cell r="J16">
            <v>64586.520968708617</v>
          </cell>
          <cell r="K16">
            <v>3722.4965877166155</v>
          </cell>
        </row>
        <row r="17">
          <cell r="B17">
            <v>55683.046300000002</v>
          </cell>
          <cell r="C17">
            <v>70.852999999999994</v>
          </cell>
          <cell r="D17">
            <v>1155.6849999999999</v>
          </cell>
          <cell r="J17">
            <v>66565.286401385107</v>
          </cell>
          <cell r="K17">
            <v>5557.5470203931045</v>
          </cell>
        </row>
        <row r="18">
          <cell r="B18">
            <v>53098.2163</v>
          </cell>
          <cell r="C18">
            <v>53.322000000000003</v>
          </cell>
          <cell r="D18">
            <v>1101.423</v>
          </cell>
          <cell r="J18">
            <v>71483.993677994004</v>
          </cell>
          <cell r="K18">
            <v>6129.6108290340053</v>
          </cell>
        </row>
        <row r="21">
          <cell r="B21">
            <v>34078.439700000003</v>
          </cell>
          <cell r="C21">
            <v>40.960999999999999</v>
          </cell>
          <cell r="D21">
            <v>603.15200000000004</v>
          </cell>
          <cell r="J21">
            <v>79817.388852914664</v>
          </cell>
          <cell r="K21">
            <v>8714.3704719226644</v>
          </cell>
        </row>
        <row r="22">
          <cell r="B22">
            <v>16489.9539</v>
          </cell>
          <cell r="C22">
            <v>91.427000000000007</v>
          </cell>
          <cell r="D22">
            <v>315.52199999999999</v>
          </cell>
          <cell r="J22">
            <v>60508.886346592961</v>
          </cell>
          <cell r="K22">
            <v>7217.8883580489646</v>
          </cell>
        </row>
        <row r="23">
          <cell r="B23">
            <v>12758.623799999999</v>
          </cell>
          <cell r="C23">
            <v>146.22</v>
          </cell>
          <cell r="D23">
            <v>234.428</v>
          </cell>
          <cell r="J23">
            <v>60741.568989613064</v>
          </cell>
          <cell r="K23">
            <v>9035.4240010690537</v>
          </cell>
        </row>
      </sheetData>
      <sheetData sheetId="1">
        <row r="24">
          <cell r="C24">
            <v>31.572487792456993</v>
          </cell>
          <cell r="D24">
            <v>31.119317008740044</v>
          </cell>
          <cell r="E24">
            <v>29.912167750851324</v>
          </cell>
          <cell r="G24">
            <v>34.950164251861118</v>
          </cell>
          <cell r="H24">
            <v>36.562726687752658</v>
          </cell>
          <cell r="I24">
            <v>39.795306435333337</v>
          </cell>
          <cell r="K24">
            <v>38.853685800924723</v>
          </cell>
          <cell r="L24">
            <v>40.875521083182797</v>
          </cell>
          <cell r="M24">
            <v>42.767962518666664</v>
          </cell>
          <cell r="O24">
            <v>38.202520075118272</v>
          </cell>
          <cell r="P24">
            <v>34.332865602000005</v>
          </cell>
          <cell r="Q24">
            <v>30.991711728344082</v>
          </cell>
        </row>
        <row r="25">
          <cell r="C25">
            <v>7.4448043443548295</v>
          </cell>
          <cell r="D25">
            <v>8.5167345067979596</v>
          </cell>
          <cell r="E25">
            <v>11.67805558671165</v>
          </cell>
          <cell r="G25">
            <v>17.899858310744936</v>
          </cell>
          <cell r="H25">
            <v>25.01897276104814</v>
          </cell>
          <cell r="I25">
            <v>25.514521731412575</v>
          </cell>
          <cell r="K25">
            <v>31.138831690860219</v>
          </cell>
          <cell r="L25">
            <v>30.157630693548391</v>
          </cell>
          <cell r="M25">
            <v>34.570880180555555</v>
          </cell>
          <cell r="O25">
            <v>36.568843266129029</v>
          </cell>
          <cell r="P25">
            <v>16.02888890277778</v>
          </cell>
          <cell r="Q25">
            <v>9.0870867540322564</v>
          </cell>
        </row>
        <row r="26">
          <cell r="C26">
            <v>8.3039870740392452</v>
          </cell>
          <cell r="D26">
            <v>8.6722728113244507</v>
          </cell>
          <cell r="E26">
            <v>7.624262149249728</v>
          </cell>
          <cell r="G26">
            <v>6.7108764883918095</v>
          </cell>
          <cell r="H26">
            <v>5.361210390938874</v>
          </cell>
          <cell r="I26">
            <v>3.1933904277844434</v>
          </cell>
          <cell r="K26">
            <v>3.1727587491827958</v>
          </cell>
          <cell r="L26">
            <v>3.2683882905387094</v>
          </cell>
          <cell r="M26">
            <v>5.1925203801866662</v>
          </cell>
          <cell r="O26">
            <v>7.29897501191543</v>
          </cell>
          <cell r="P26">
            <v>7.7352502803299323</v>
          </cell>
          <cell r="Q26">
            <v>8.9885556690960833</v>
          </cell>
        </row>
        <row r="27">
          <cell r="C27">
            <v>5.4142452486587036</v>
          </cell>
          <cell r="D27">
            <v>5.5175433547672394</v>
          </cell>
          <cell r="E27">
            <v>4.0695733589542984</v>
          </cell>
          <cell r="G27">
            <v>3.3305755555138878</v>
          </cell>
          <cell r="H27">
            <v>2.5365610612970428</v>
          </cell>
          <cell r="I27">
            <v>1.5826393616666665</v>
          </cell>
          <cell r="K27">
            <v>1.9208500658602152</v>
          </cell>
          <cell r="L27">
            <v>1.5493263405913975</v>
          </cell>
          <cell r="M27">
            <v>2.7125566741666667</v>
          </cell>
          <cell r="O27">
            <v>3.1796725876344079</v>
          </cell>
          <cell r="P27">
            <v>3.9177557476944438</v>
          </cell>
          <cell r="Q27">
            <v>4.1741506097311829</v>
          </cell>
        </row>
      </sheetData>
      <sheetData sheetId="2">
        <row r="8">
          <cell r="C8">
            <v>22497.291109991995</v>
          </cell>
          <cell r="D8">
            <v>20990.909928470446</v>
          </cell>
          <cell r="E8">
            <v>18524.971626384267</v>
          </cell>
          <cell r="G8">
            <v>26150.196686970365</v>
          </cell>
          <cell r="H8">
            <v>29172.36216635957</v>
          </cell>
          <cell r="I8">
            <v>29245.211230713052</v>
          </cell>
          <cell r="K8">
            <v>29992.714270991997</v>
          </cell>
          <cell r="L8">
            <v>31016.473340991997</v>
          </cell>
          <cell r="M8">
            <v>29660.59534896</v>
          </cell>
          <cell r="O8">
            <v>31117.492400992</v>
          </cell>
          <cell r="P8">
            <v>24231.464948543999</v>
          </cell>
          <cell r="Q8">
            <v>22568.596118543996</v>
          </cell>
        </row>
        <row r="13">
          <cell r="C13">
            <v>10428.065231748998</v>
          </cell>
          <cell r="D13">
            <v>10074.340156221824</v>
          </cell>
          <cell r="E13">
            <v>13529.584810060802</v>
          </cell>
          <cell r="G13">
            <v>15192.112296756794</v>
          </cell>
          <cell r="H13">
            <v>18875.17645904555</v>
          </cell>
          <cell r="I13">
            <v>17914.5563329</v>
          </cell>
          <cell r="K13">
            <v>23292.46342</v>
          </cell>
          <cell r="L13">
            <v>22321.347310000001</v>
          </cell>
          <cell r="M13">
            <v>25368.962650000001</v>
          </cell>
          <cell r="O13">
            <v>27508.430079999998</v>
          </cell>
          <cell r="P13">
            <v>15389.01715</v>
          </cell>
          <cell r="Q13">
            <v>11552.801069999998</v>
          </cell>
        </row>
        <row r="18">
          <cell r="C18">
            <v>3020.7526986412004</v>
          </cell>
          <cell r="D18">
            <v>2828.2261182379998</v>
          </cell>
          <cell r="E18">
            <v>2316.8588695229996</v>
          </cell>
          <cell r="G18">
            <v>1988.0886430652999</v>
          </cell>
          <cell r="H18">
            <v>1802.0557439189997</v>
          </cell>
          <cell r="I18">
            <v>1467.8397629600001</v>
          </cell>
          <cell r="K18">
            <v>1150.8588923999998</v>
          </cell>
          <cell r="L18">
            <v>1380.8405875000001</v>
          </cell>
          <cell r="M18">
            <v>1578.8872331</v>
          </cell>
          <cell r="O18">
            <v>2467.1160650000002</v>
          </cell>
          <cell r="P18">
            <v>2582.704160404</v>
          </cell>
          <cell r="Q18">
            <v>2462.1675110723199</v>
          </cell>
        </row>
        <row r="23">
          <cell r="C23">
            <v>2713.2883725970755</v>
          </cell>
          <cell r="D23">
            <v>2705.5785261399988</v>
          </cell>
          <cell r="E23">
            <v>2077.8520055599984</v>
          </cell>
          <cell r="G23">
            <v>1375.6313049999997</v>
          </cell>
          <cell r="H23">
            <v>1267.2991961511998</v>
          </cell>
          <cell r="I23">
            <v>970.46122454479951</v>
          </cell>
          <cell r="K23">
            <v>852.20860399200001</v>
          </cell>
          <cell r="L23">
            <v>1138.5505840607993</v>
          </cell>
          <cell r="M23">
            <v>1888.0130660344003</v>
          </cell>
          <cell r="O23">
            <v>1757.1368090650792</v>
          </cell>
          <cell r="P23">
            <v>1871.6085397735524</v>
          </cell>
          <cell r="Q23">
            <v>2164.3656653751673</v>
          </cell>
        </row>
        <row r="24">
          <cell r="C24">
            <v>22914.098132692001</v>
          </cell>
          <cell r="D24">
            <v>20795.295460739071</v>
          </cell>
          <cell r="E24">
            <v>19060.580336910803</v>
          </cell>
          <cell r="G24">
            <v>24588.285476443998</v>
          </cell>
          <cell r="H24">
            <v>26626.835870791983</v>
          </cell>
          <cell r="I24">
            <v>27788.871456096</v>
          </cell>
          <cell r="K24">
            <v>28331.309450991997</v>
          </cell>
          <cell r="L24">
            <v>29835.554900991996</v>
          </cell>
          <cell r="M24">
            <v>27913.769088960002</v>
          </cell>
          <cell r="O24">
            <v>27846.842150991997</v>
          </cell>
          <cell r="P24">
            <v>24143.830448543999</v>
          </cell>
          <cell r="Q24">
            <v>22194.084348543998</v>
          </cell>
        </row>
        <row r="25">
          <cell r="C25">
            <v>5538.9344321999934</v>
          </cell>
          <cell r="D25">
            <v>5927.6472167313805</v>
          </cell>
          <cell r="E25">
            <v>8688.4733565134684</v>
          </cell>
          <cell r="G25">
            <v>12887.897983736355</v>
          </cell>
          <cell r="H25">
            <v>18614.115734219813</v>
          </cell>
          <cell r="I25">
            <v>18370.455646617054</v>
          </cell>
          <cell r="K25">
            <v>23167.290778000002</v>
          </cell>
          <cell r="L25">
            <v>22437.277236000002</v>
          </cell>
          <cell r="M25">
            <v>24891.033730000003</v>
          </cell>
          <cell r="O25">
            <v>27207.219390000002</v>
          </cell>
          <cell r="P25">
            <v>11540.800010000001</v>
          </cell>
          <cell r="Q25">
            <v>6760.7925449999993</v>
          </cell>
        </row>
        <row r="26">
          <cell r="C26">
            <v>6178.1663830851976</v>
          </cell>
          <cell r="D26">
            <v>6035.9018766818181</v>
          </cell>
          <cell r="E26">
            <v>5672.4510390417981</v>
          </cell>
          <cell r="G26">
            <v>4831.8310716421029</v>
          </cell>
          <cell r="H26">
            <v>3988.7405308585217</v>
          </cell>
          <cell r="I26">
            <v>2299.2411080047996</v>
          </cell>
          <cell r="K26">
            <v>2360.5325093920005</v>
          </cell>
          <cell r="L26">
            <v>2431.6808881608004</v>
          </cell>
          <cell r="M26">
            <v>3738.6146737343997</v>
          </cell>
          <cell r="O26">
            <v>5430.4374088650793</v>
          </cell>
          <cell r="P26">
            <v>5569.3802018375518</v>
          </cell>
          <cell r="Q26">
            <v>6687.4854178074875</v>
          </cell>
        </row>
        <row r="27">
          <cell r="C27">
            <v>4028.1984650020759</v>
          </cell>
          <cell r="D27">
            <v>3840.2101749179992</v>
          </cell>
          <cell r="E27">
            <v>3027.7625790619986</v>
          </cell>
          <cell r="G27">
            <v>2398.014399969999</v>
          </cell>
          <cell r="H27">
            <v>1887.2014296049997</v>
          </cell>
          <cell r="I27">
            <v>1139.5003403999999</v>
          </cell>
          <cell r="K27">
            <v>1429.112449</v>
          </cell>
          <cell r="L27">
            <v>1152.6987973999996</v>
          </cell>
          <cell r="M27">
            <v>1953.0408054</v>
          </cell>
          <cell r="O27">
            <v>2365.6764051999999</v>
          </cell>
          <cell r="P27">
            <v>2820.78413834</v>
          </cell>
          <cell r="Q27">
            <v>3105.56805364</v>
          </cell>
        </row>
        <row r="29">
          <cell r="C29">
            <v>7914.4446040000003</v>
          </cell>
          <cell r="D29">
            <v>7386.1040400000002</v>
          </cell>
          <cell r="E29">
            <v>7423.6778700000013</v>
          </cell>
          <cell r="G29">
            <v>5161.4709299999995</v>
          </cell>
          <cell r="H29">
            <v>3973.4333100000003</v>
          </cell>
          <cell r="I29">
            <v>5537.7921899999992</v>
          </cell>
          <cell r="K29">
            <v>4440.6085499999999</v>
          </cell>
          <cell r="L29">
            <v>3813.4956299999999</v>
          </cell>
          <cell r="M29">
            <v>4636.7470800000001</v>
          </cell>
          <cell r="O29">
            <v>5147.3860199999999</v>
          </cell>
          <cell r="P29">
            <v>5579.7535499999994</v>
          </cell>
          <cell r="Q29">
            <v>8239.9802099999997</v>
          </cell>
        </row>
        <row r="30">
          <cell r="C30">
            <v>5370.5887500000008</v>
          </cell>
          <cell r="D30">
            <v>4488.0472000000009</v>
          </cell>
          <cell r="E30">
            <v>4028.5298999999995</v>
          </cell>
          <cell r="G30">
            <v>2938.8040000000001</v>
          </cell>
          <cell r="H30">
            <v>2293.3209000000002</v>
          </cell>
          <cell r="I30">
            <v>1280.81405</v>
          </cell>
          <cell r="K30">
            <v>1135.1712499999999</v>
          </cell>
          <cell r="L30">
            <v>1337.0320000000002</v>
          </cell>
          <cell r="M30">
            <v>2221.1765</v>
          </cell>
          <cell r="O30">
            <v>3105.4572499999999</v>
          </cell>
          <cell r="P30">
            <v>3636.45</v>
          </cell>
          <cell r="Q30">
            <v>4718.2343999999994</v>
          </cell>
        </row>
        <row r="31">
          <cell r="C31">
            <v>1265.3920000000001</v>
          </cell>
          <cell r="D31">
            <v>1261.6170000000002</v>
          </cell>
          <cell r="E31">
            <v>1029.671</v>
          </cell>
          <cell r="G31">
            <v>869.14499999999998</v>
          </cell>
          <cell r="H31">
            <v>717.13504999999998</v>
          </cell>
          <cell r="I31">
            <v>640.01600000000008</v>
          </cell>
          <cell r="K31">
            <v>605.23249999999996</v>
          </cell>
          <cell r="L31">
            <v>648.35799999999995</v>
          </cell>
          <cell r="M31">
            <v>814.42399999999998</v>
          </cell>
          <cell r="O31">
            <v>815.78300000000002</v>
          </cell>
          <cell r="P31">
            <v>900.14657</v>
          </cell>
          <cell r="Q31">
            <v>1067.9370000000001</v>
          </cell>
        </row>
        <row r="35">
          <cell r="C35">
            <v>404.12983238198927</v>
          </cell>
          <cell r="D35">
            <v>354.99688573607631</v>
          </cell>
          <cell r="E35">
            <v>300.87841526879612</v>
          </cell>
          <cell r="G35">
            <v>192.80714020562237</v>
          </cell>
          <cell r="H35">
            <v>126.82229743959086</v>
          </cell>
          <cell r="I35">
            <v>59.406354965612415</v>
          </cell>
          <cell r="K35">
            <v>60.565965355783831</v>
          </cell>
          <cell r="L35">
            <v>142.10526689276901</v>
          </cell>
          <cell r="M35">
            <v>218.8836629360963</v>
          </cell>
          <cell r="O35">
            <v>439.57285604813399</v>
          </cell>
          <cell r="P35">
            <v>412.15979042734688</v>
          </cell>
          <cell r="Q35">
            <v>391.43114146186491</v>
          </cell>
        </row>
        <row r="36">
          <cell r="C36">
            <v>178.26625277564716</v>
          </cell>
          <cell r="D36">
            <v>128.25025564476445</v>
          </cell>
          <cell r="E36">
            <v>101.72750168534365</v>
          </cell>
          <cell r="G36">
            <v>64.609730077178313</v>
          </cell>
          <cell r="H36">
            <v>45.106579847102509</v>
          </cell>
          <cell r="I36">
            <v>20.850206925438833</v>
          </cell>
          <cell r="K36">
            <v>26.294546848219515</v>
          </cell>
          <cell r="L36">
            <v>54.371040324877896</v>
          </cell>
          <cell r="M36">
            <v>124.78396187389775</v>
          </cell>
          <cell r="O36">
            <v>318.5510667734128</v>
          </cell>
          <cell r="P36">
            <v>249.69612689666133</v>
          </cell>
          <cell r="Q36">
            <v>217.59079612574192</v>
          </cell>
        </row>
        <row r="37">
          <cell r="C37">
            <v>2380.7229671379023</v>
          </cell>
          <cell r="D37">
            <v>1979.7070810039718</v>
          </cell>
          <cell r="E37">
            <v>1691.4113717761711</v>
          </cell>
          <cell r="G37">
            <v>1443.9105257870463</v>
          </cell>
          <cell r="H37">
            <v>1078.4932353380514</v>
          </cell>
          <cell r="I37">
            <v>767.35142862291571</v>
          </cell>
          <cell r="K37">
            <v>787.80689292938928</v>
          </cell>
          <cell r="L37">
            <v>657.48859021867236</v>
          </cell>
          <cell r="M37">
            <v>1117.2214010024179</v>
          </cell>
          <cell r="O37">
            <v>1619.2477509025246</v>
          </cell>
          <cell r="P37">
            <v>1826.6932842258911</v>
          </cell>
          <cell r="Q37">
            <v>2576.9862997156097</v>
          </cell>
        </row>
        <row r="38">
          <cell r="C38">
            <v>3179.5575024608656</v>
          </cell>
          <cell r="D38">
            <v>2890.5391556805394</v>
          </cell>
          <cell r="E38">
            <v>2208.1370483063956</v>
          </cell>
          <cell r="G38">
            <v>1631.3763419230111</v>
          </cell>
          <cell r="H38">
            <v>1335.2345956750216</v>
          </cell>
          <cell r="I38">
            <v>993.00423183311568</v>
          </cell>
          <cell r="K38">
            <v>1245.3833134654742</v>
          </cell>
          <cell r="L38">
            <v>815.5585771274126</v>
          </cell>
          <cell r="M38">
            <v>1328.6594796009917</v>
          </cell>
          <cell r="O38">
            <v>1725.2798322927711</v>
          </cell>
          <cell r="P38">
            <v>2123.2137383648455</v>
          </cell>
          <cell r="Q38">
            <v>2451.3023104855292</v>
          </cell>
        </row>
      </sheetData>
      <sheetData sheetId="3"/>
      <sheetData sheetId="4">
        <row r="28">
          <cell r="B28">
            <v>404.12983238198927</v>
          </cell>
          <cell r="D28">
            <v>178.26625277564716</v>
          </cell>
          <cell r="F28">
            <v>2380.7229671379023</v>
          </cell>
          <cell r="H28">
            <v>3179.5575024608656</v>
          </cell>
        </row>
        <row r="29">
          <cell r="B29">
            <v>354.99688573607631</v>
          </cell>
          <cell r="D29">
            <v>128.25025564476445</v>
          </cell>
          <cell r="F29">
            <v>1979.7070810039718</v>
          </cell>
          <cell r="H29">
            <v>2890.5391556805394</v>
          </cell>
        </row>
        <row r="30">
          <cell r="B30">
            <v>300.87841526879612</v>
          </cell>
          <cell r="D30">
            <v>101.72750168534365</v>
          </cell>
          <cell r="F30">
            <v>1691.4113717761711</v>
          </cell>
          <cell r="H30">
            <v>2208.1370483063956</v>
          </cell>
        </row>
        <row r="32">
          <cell r="B32">
            <v>192.80714020562237</v>
          </cell>
          <cell r="D32">
            <v>64.609730077178313</v>
          </cell>
          <cell r="F32">
            <v>1443.9105257870463</v>
          </cell>
          <cell r="H32">
            <v>1631.3763419230111</v>
          </cell>
        </row>
        <row r="33">
          <cell r="B33">
            <v>126.82229743959086</v>
          </cell>
          <cell r="D33">
            <v>45.106579847102509</v>
          </cell>
          <cell r="F33">
            <v>1078.4932353380514</v>
          </cell>
          <cell r="H33">
            <v>1335.2345956750216</v>
          </cell>
        </row>
        <row r="34">
          <cell r="B34">
            <v>59.406354965612415</v>
          </cell>
          <cell r="D34">
            <v>20.850206925438833</v>
          </cell>
          <cell r="F34">
            <v>767.35142862291571</v>
          </cell>
          <cell r="H34">
            <v>993.00423183311568</v>
          </cell>
        </row>
        <row r="36">
          <cell r="B36">
            <v>60.565965355783831</v>
          </cell>
          <cell r="D36">
            <v>26.294546848219515</v>
          </cell>
          <cell r="F36">
            <v>787.80689292938928</v>
          </cell>
          <cell r="H36">
            <v>1245.3833134654742</v>
          </cell>
        </row>
        <row r="37">
          <cell r="B37">
            <v>142.10526689276901</v>
          </cell>
          <cell r="D37">
            <v>54.371040324877896</v>
          </cell>
          <cell r="F37">
            <v>657.48859021867236</v>
          </cell>
          <cell r="H37">
            <v>815.5585771274126</v>
          </cell>
        </row>
        <row r="38">
          <cell r="B38">
            <v>218.8836629360963</v>
          </cell>
          <cell r="D38">
            <v>124.78396187389775</v>
          </cell>
          <cell r="F38">
            <v>1117.2214010024179</v>
          </cell>
          <cell r="H38">
            <v>1328.6594796009917</v>
          </cell>
        </row>
        <row r="40">
          <cell r="B40">
            <v>439.57285604813399</v>
          </cell>
          <cell r="D40">
            <v>318.5510667734128</v>
          </cell>
          <cell r="F40">
            <v>1619.2477509025246</v>
          </cell>
          <cell r="H40">
            <v>1725.2798322927711</v>
          </cell>
        </row>
        <row r="41">
          <cell r="B41">
            <v>412.15979042734688</v>
          </cell>
          <cell r="D41">
            <v>249.69612689666133</v>
          </cell>
          <cell r="F41">
            <v>1826.6932842258911</v>
          </cell>
          <cell r="H41">
            <v>2123.2137383648455</v>
          </cell>
        </row>
        <row r="42">
          <cell r="B42">
            <v>391.43114146186491</v>
          </cell>
          <cell r="D42">
            <v>217.59079612574192</v>
          </cell>
          <cell r="F42">
            <v>2576.9862997156097</v>
          </cell>
          <cell r="H42">
            <v>2451.3023104855292</v>
          </cell>
        </row>
      </sheetData>
      <sheetData sheetId="5"/>
      <sheetData sheetId="6"/>
      <sheetData sheetId="7"/>
      <sheetData sheetId="8">
        <row r="4">
          <cell r="C4">
            <v>261478.17807706699</v>
          </cell>
        </row>
        <row r="5">
          <cell r="C5">
            <v>261304.75306479857</v>
          </cell>
        </row>
        <row r="6">
          <cell r="C6">
            <v>250271.08429959262</v>
          </cell>
        </row>
        <row r="7">
          <cell r="C7">
            <v>228286.75895483646</v>
          </cell>
        </row>
        <row r="8">
          <cell r="C8">
            <v>208536.13928729852</v>
          </cell>
        </row>
        <row r="9">
          <cell r="C9">
            <v>202839.28489421026</v>
          </cell>
        </row>
        <row r="10">
          <cell r="B10">
            <v>188666.17960111608</v>
          </cell>
        </row>
        <row r="11">
          <cell r="B11">
            <v>194772.32488695503</v>
          </cell>
        </row>
        <row r="12">
          <cell r="B12">
            <v>214521.22835730898</v>
          </cell>
        </row>
        <row r="13">
          <cell r="B13">
            <v>225796.3708978924</v>
          </cell>
        </row>
        <row r="14">
          <cell r="B14">
            <v>245550.97195357835</v>
          </cell>
        </row>
        <row r="15">
          <cell r="B15">
            <v>262783.37078651687</v>
          </cell>
        </row>
      </sheetData>
      <sheetData sheetId="9">
        <row r="11">
          <cell r="B11">
            <v>5.7599244403453236</v>
          </cell>
          <cell r="C11">
            <v>6.1148724398953611</v>
          </cell>
          <cell r="D11">
            <v>5.7212502342452813</v>
          </cell>
          <cell r="E11">
            <v>8.1604970606709006</v>
          </cell>
          <cell r="F11">
            <v>10.557932366607227</v>
          </cell>
          <cell r="G11">
            <v>10.159864076787741</v>
          </cell>
          <cell r="H11">
            <v>10.333507050798234</v>
          </cell>
          <cell r="I11">
            <v>10.717339556073529</v>
          </cell>
          <cell r="J11">
            <v>10.558537778548878</v>
          </cell>
          <cell r="K11">
            <v>9.5274672372699172</v>
          </cell>
          <cell r="L11">
            <v>5.5779765064557996</v>
          </cell>
          <cell r="M11">
            <v>4.4368554564322285</v>
          </cell>
        </row>
      </sheetData>
      <sheetData sheetId="10">
        <row r="31">
          <cell r="W31">
            <v>1.8034842388939103</v>
          </cell>
        </row>
        <row r="32">
          <cell r="W32">
            <v>2.0562571434196442</v>
          </cell>
        </row>
        <row r="33">
          <cell r="W33">
            <v>1.9099502651312754</v>
          </cell>
        </row>
        <row r="35">
          <cell r="W35">
            <v>1.7282415973033769</v>
          </cell>
        </row>
        <row r="36">
          <cell r="W36">
            <v>1.2828710240927697</v>
          </cell>
        </row>
        <row r="37">
          <cell r="W37">
            <v>1.0046396987215269</v>
          </cell>
        </row>
        <row r="39">
          <cell r="W39">
            <v>1.4104501882290352</v>
          </cell>
        </row>
        <row r="40">
          <cell r="W40">
            <v>1.39028195849317</v>
          </cell>
        </row>
        <row r="41">
          <cell r="W41">
            <v>1.8365550185621524</v>
          </cell>
        </row>
        <row r="43">
          <cell r="W43">
            <v>2.0467662437611303</v>
          </cell>
        </row>
        <row r="44">
          <cell r="W44">
            <v>2.1825731052024766</v>
          </cell>
        </row>
        <row r="45">
          <cell r="W45">
            <v>2.2376608264594413</v>
          </cell>
        </row>
      </sheetData>
      <sheetData sheetId="11"/>
      <sheetData sheetId="12">
        <row r="5">
          <cell r="D5">
            <v>24.060550832075027</v>
          </cell>
        </row>
        <row r="8">
          <cell r="D8">
            <v>23.912273705533345</v>
          </cell>
        </row>
        <row r="11">
          <cell r="D11">
            <v>21.047512953765366</v>
          </cell>
        </row>
        <row r="14">
          <cell r="D14">
            <v>34.51287070333268</v>
          </cell>
        </row>
        <row r="17">
          <cell r="D17">
            <v>57.456194946809362</v>
          </cell>
        </row>
        <row r="20">
          <cell r="D20">
            <v>55.924392780043149</v>
          </cell>
        </row>
        <row r="23">
          <cell r="D23">
            <v>203.22796001296297</v>
          </cell>
        </row>
        <row r="26">
          <cell r="D26">
            <v>235.23772806463143</v>
          </cell>
        </row>
        <row r="29">
          <cell r="D29">
            <v>292.55876575834225</v>
          </cell>
        </row>
        <row r="32">
          <cell r="D32">
            <v>181.86678593507327</v>
          </cell>
        </row>
        <row r="35">
          <cell r="D35">
            <v>122.52701866810051</v>
          </cell>
        </row>
        <row r="38">
          <cell r="D38">
            <v>117.5008187211846</v>
          </cell>
        </row>
        <row r="41">
          <cell r="D41">
            <v>1369.8328730818539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cfrenergo.ru/strategy/services/" TargetMode="External"/><Relationship Id="rId1" Type="http://schemas.openxmlformats.org/officeDocument/2006/relationships/hyperlink" Target="http://www.atsenergo.ru/ats/payments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S68"/>
  <sheetViews>
    <sheetView topLeftCell="B1" zoomScale="70" zoomScaleNormal="70" workbookViewId="0">
      <selection activeCell="O48" sqref="O48"/>
    </sheetView>
  </sheetViews>
  <sheetFormatPr defaultRowHeight="12.75"/>
  <cols>
    <col min="1" max="1" width="0" style="6" hidden="1" customWidth="1"/>
    <col min="2" max="2" width="15.85546875" style="6" bestFit="1" customWidth="1"/>
    <col min="3" max="3" width="12.5703125" style="6" bestFit="1" customWidth="1"/>
    <col min="4" max="27" width="11.7109375" style="6" bestFit="1" customWidth="1"/>
    <col min="28" max="30" width="11.7109375" style="6" hidden="1" customWidth="1"/>
    <col min="31" max="31" width="8.7109375" style="6" hidden="1" customWidth="1"/>
    <col min="32" max="39" width="14.140625" style="6" hidden="1" customWidth="1"/>
    <col min="40" max="44" width="13.5703125" style="6" hidden="1" customWidth="1"/>
    <col min="45" max="55" width="13.85546875" style="6" hidden="1" customWidth="1"/>
    <col min="56" max="58" width="13.7109375" style="6" hidden="1" customWidth="1"/>
    <col min="59" max="59" width="10.140625" style="6" hidden="1" customWidth="1"/>
    <col min="60" max="64" width="0" style="6" hidden="1" customWidth="1"/>
    <col min="65" max="16384" width="9.140625" style="6"/>
  </cols>
  <sheetData>
    <row r="2" spans="1:71" s="7" customFormat="1" ht="19.5" hidden="1" customHeight="1">
      <c r="A2" s="773" t="s">
        <v>278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71" hidden="1">
      <c r="B3" s="777" t="s">
        <v>0</v>
      </c>
      <c r="C3" s="778"/>
      <c r="D3" s="775">
        <v>41640</v>
      </c>
      <c r="E3" s="776"/>
      <c r="F3" s="776"/>
      <c r="G3" s="776"/>
      <c r="H3" s="775">
        <v>41671</v>
      </c>
      <c r="I3" s="776"/>
      <c r="J3" s="776"/>
      <c r="K3" s="776"/>
      <c r="L3" s="781">
        <v>41699</v>
      </c>
      <c r="M3" s="782"/>
      <c r="N3" s="782"/>
      <c r="O3" s="783"/>
      <c r="P3" s="781">
        <v>41730</v>
      </c>
      <c r="Q3" s="782"/>
      <c r="R3" s="782"/>
      <c r="S3" s="783"/>
      <c r="T3" s="781">
        <v>41760</v>
      </c>
      <c r="U3" s="782"/>
      <c r="V3" s="782"/>
      <c r="W3" s="783"/>
      <c r="X3" s="781">
        <v>41791</v>
      </c>
      <c r="Y3" s="782"/>
      <c r="Z3" s="782"/>
      <c r="AA3" s="783"/>
      <c r="AB3" s="784" t="s">
        <v>1</v>
      </c>
      <c r="AC3" s="784"/>
      <c r="AD3" s="784"/>
      <c r="AE3" s="784"/>
      <c r="AF3" s="777" t="s">
        <v>17</v>
      </c>
      <c r="AG3" s="785"/>
      <c r="AH3" s="785"/>
      <c r="AI3" s="778"/>
      <c r="AJ3" s="777" t="s">
        <v>18</v>
      </c>
      <c r="AK3" s="785"/>
      <c r="AL3" s="785"/>
      <c r="AM3" s="778"/>
      <c r="AN3" s="777" t="s">
        <v>19</v>
      </c>
      <c r="AO3" s="785"/>
      <c r="AP3" s="785"/>
      <c r="AQ3" s="778"/>
      <c r="AR3" s="777" t="s">
        <v>20</v>
      </c>
      <c r="AS3" s="785"/>
      <c r="AT3" s="785"/>
      <c r="AU3" s="778"/>
      <c r="AV3" s="777" t="s">
        <v>21</v>
      </c>
      <c r="AW3" s="785"/>
      <c r="AX3" s="785"/>
      <c r="AY3" s="778"/>
      <c r="AZ3" s="777" t="s">
        <v>22</v>
      </c>
      <c r="BA3" s="785"/>
      <c r="BB3" s="785"/>
      <c r="BC3" s="778"/>
      <c r="BD3" s="772" t="s">
        <v>25</v>
      </c>
      <c r="BE3" s="772"/>
      <c r="BF3" s="772"/>
      <c r="BG3" s="772"/>
      <c r="BM3" s="20"/>
      <c r="BN3" s="20"/>
      <c r="BO3" s="20"/>
      <c r="BP3" s="20"/>
      <c r="BQ3" s="20"/>
      <c r="BR3" s="20"/>
      <c r="BS3" s="20"/>
    </row>
    <row r="4" spans="1:71" hidden="1">
      <c r="B4" s="779"/>
      <c r="C4" s="780"/>
      <c r="D4" s="648" t="s">
        <v>2</v>
      </c>
      <c r="E4" s="648" t="s">
        <v>3</v>
      </c>
      <c r="F4" s="648" t="s">
        <v>4</v>
      </c>
      <c r="G4" s="648" t="s">
        <v>5</v>
      </c>
      <c r="H4" s="648" t="s">
        <v>2</v>
      </c>
      <c r="I4" s="648" t="s">
        <v>3</v>
      </c>
      <c r="J4" s="648" t="s">
        <v>4</v>
      </c>
      <c r="K4" s="648" t="s">
        <v>5</v>
      </c>
      <c r="L4" s="1" t="s">
        <v>2</v>
      </c>
      <c r="M4" s="1" t="s">
        <v>3</v>
      </c>
      <c r="N4" s="1" t="s">
        <v>4</v>
      </c>
      <c r="O4" s="1" t="s">
        <v>5</v>
      </c>
      <c r="P4" s="2" t="s">
        <v>2</v>
      </c>
      <c r="Q4" s="2" t="s">
        <v>3</v>
      </c>
      <c r="R4" s="2" t="s">
        <v>4</v>
      </c>
      <c r="S4" s="2" t="s">
        <v>5</v>
      </c>
      <c r="T4" s="1" t="s">
        <v>2</v>
      </c>
      <c r="U4" s="1" t="s">
        <v>3</v>
      </c>
      <c r="V4" s="1" t="s">
        <v>4</v>
      </c>
      <c r="W4" s="1" t="s">
        <v>5</v>
      </c>
      <c r="X4" s="2" t="s">
        <v>2</v>
      </c>
      <c r="Y4" s="2" t="s">
        <v>3</v>
      </c>
      <c r="Z4" s="2" t="s">
        <v>4</v>
      </c>
      <c r="AA4" s="2" t="s">
        <v>5</v>
      </c>
      <c r="AB4" s="1" t="s">
        <v>2</v>
      </c>
      <c r="AC4" s="1" t="s">
        <v>3</v>
      </c>
      <c r="AD4" s="1" t="s">
        <v>4</v>
      </c>
      <c r="AE4" s="1" t="s">
        <v>5</v>
      </c>
      <c r="AF4" s="8" t="s">
        <v>2</v>
      </c>
      <c r="AG4" s="8" t="s">
        <v>3</v>
      </c>
      <c r="AH4" s="8" t="s">
        <v>4</v>
      </c>
      <c r="AI4" s="8" t="s">
        <v>5</v>
      </c>
      <c r="AJ4" s="8" t="s">
        <v>2</v>
      </c>
      <c r="AK4" s="8" t="s">
        <v>3</v>
      </c>
      <c r="AL4" s="8" t="s">
        <v>4</v>
      </c>
      <c r="AM4" s="8" t="s">
        <v>5</v>
      </c>
      <c r="AN4" s="1" t="s">
        <v>2</v>
      </c>
      <c r="AO4" s="1" t="s">
        <v>3</v>
      </c>
      <c r="AP4" s="1" t="s">
        <v>4</v>
      </c>
      <c r="AQ4" s="1" t="s">
        <v>5</v>
      </c>
      <c r="AR4" s="2" t="s">
        <v>2</v>
      </c>
      <c r="AS4" s="2" t="s">
        <v>3</v>
      </c>
      <c r="AT4" s="2" t="s">
        <v>4</v>
      </c>
      <c r="AU4" s="2" t="s">
        <v>5</v>
      </c>
      <c r="AV4" s="1" t="s">
        <v>2</v>
      </c>
      <c r="AW4" s="1" t="s">
        <v>3</v>
      </c>
      <c r="AX4" s="1" t="s">
        <v>4</v>
      </c>
      <c r="AY4" s="1" t="s">
        <v>5</v>
      </c>
      <c r="AZ4" s="2" t="s">
        <v>2</v>
      </c>
      <c r="BA4" s="2" t="s">
        <v>3</v>
      </c>
      <c r="BB4" s="2" t="s">
        <v>4</v>
      </c>
      <c r="BC4" s="2" t="s">
        <v>5</v>
      </c>
      <c r="BD4" s="2" t="s">
        <v>2</v>
      </c>
      <c r="BE4" s="2" t="s">
        <v>3</v>
      </c>
      <c r="BF4" s="2" t="s">
        <v>4</v>
      </c>
      <c r="BG4" s="2" t="s">
        <v>5</v>
      </c>
      <c r="BM4" s="20"/>
      <c r="BN4" s="20"/>
      <c r="BO4" s="20"/>
      <c r="BP4" s="20"/>
      <c r="BQ4" s="20"/>
      <c r="BR4" s="20"/>
      <c r="BS4" s="20"/>
    </row>
    <row r="5" spans="1:71" ht="27.75" hidden="1" customHeight="1">
      <c r="B5" s="3" t="s">
        <v>6</v>
      </c>
      <c r="C5" s="4" t="s">
        <v>7</v>
      </c>
      <c r="D5" s="5">
        <v>1590.67</v>
      </c>
      <c r="E5" s="5">
        <v>1867.88</v>
      </c>
      <c r="F5" s="5">
        <v>2013.45</v>
      </c>
      <c r="G5" s="5">
        <v>2138.0500000000002</v>
      </c>
      <c r="H5" s="5">
        <v>1785.18</v>
      </c>
      <c r="I5" s="5">
        <v>2062.39</v>
      </c>
      <c r="J5" s="5">
        <v>2207.96</v>
      </c>
      <c r="K5" s="5">
        <v>2332.56</v>
      </c>
      <c r="L5" s="5">
        <v>1719.98</v>
      </c>
      <c r="M5" s="5">
        <v>1997.19</v>
      </c>
      <c r="N5" s="5">
        <v>2142.7600000000002</v>
      </c>
      <c r="O5" s="5">
        <v>2267.36</v>
      </c>
      <c r="P5" s="5">
        <v>1680.81</v>
      </c>
      <c r="Q5" s="5">
        <v>1958.01</v>
      </c>
      <c r="R5" s="5">
        <v>2103.59</v>
      </c>
      <c r="S5" s="5">
        <v>2228.19</v>
      </c>
      <c r="T5" s="5">
        <v>1471.74</v>
      </c>
      <c r="U5" s="5">
        <v>1748.94</v>
      </c>
      <c r="V5" s="5">
        <v>1894.52</v>
      </c>
      <c r="W5" s="5">
        <v>2019.11</v>
      </c>
      <c r="X5" s="5">
        <v>1380.68</v>
      </c>
      <c r="Y5" s="5">
        <v>1657.89</v>
      </c>
      <c r="Z5" s="5">
        <v>1803.46</v>
      </c>
      <c r="AA5" s="5">
        <v>1928.06</v>
      </c>
      <c r="AB5" s="21">
        <f t="shared" ref="AB5:AE8" si="0">(D5+H5+L5+P5+T5+X5)/6</f>
        <v>1604.8433333333332</v>
      </c>
      <c r="AC5" s="21">
        <f t="shared" si="0"/>
        <v>1882.05</v>
      </c>
      <c r="AD5" s="21">
        <f t="shared" si="0"/>
        <v>2027.6233333333337</v>
      </c>
      <c r="AE5" s="21">
        <f t="shared" si="0"/>
        <v>2152.2216666666668</v>
      </c>
      <c r="AF5" s="5">
        <f t="shared" ref="AF5:AK5" si="1">AF14*1.08</f>
        <v>1245.7196296709062</v>
      </c>
      <c r="AG5" s="5">
        <f t="shared" si="1"/>
        <v>1576.2364036709062</v>
      </c>
      <c r="AH5" s="5">
        <f t="shared" si="1"/>
        <v>1749.785707670906</v>
      </c>
      <c r="AI5" s="5">
        <f t="shared" si="1"/>
        <v>1898.3478616709065</v>
      </c>
      <c r="AJ5" s="5">
        <f t="shared" si="1"/>
        <v>1591.1210876137181</v>
      </c>
      <c r="AK5" s="5">
        <f t="shared" si="1"/>
        <v>1921.6378616137185</v>
      </c>
      <c r="AL5" s="5">
        <f t="shared" ref="AL5:BC5" si="2">AL14*1.08</f>
        <v>2095.1871656137182</v>
      </c>
      <c r="AM5" s="5">
        <f t="shared" si="2"/>
        <v>2243.7493196137179</v>
      </c>
      <c r="AN5" s="5">
        <f t="shared" si="2"/>
        <v>1887.1259040000004</v>
      </c>
      <c r="AO5" s="5">
        <f t="shared" si="2"/>
        <v>2217.6426780000002</v>
      </c>
      <c r="AP5" s="5">
        <f t="shared" si="2"/>
        <v>2391.1919820000003</v>
      </c>
      <c r="AQ5" s="5">
        <f t="shared" si="2"/>
        <v>2539.754136</v>
      </c>
      <c r="AR5" s="5">
        <f t="shared" si="2"/>
        <v>2038.8671460000003</v>
      </c>
      <c r="AS5" s="5">
        <f t="shared" si="2"/>
        <v>2369.3839199999998</v>
      </c>
      <c r="AT5" s="5">
        <f t="shared" si="2"/>
        <v>2542.9332240000003</v>
      </c>
      <c r="AU5" s="5">
        <f t="shared" si="2"/>
        <v>2691.4953780000005</v>
      </c>
      <c r="AV5" s="5">
        <f t="shared" si="2"/>
        <v>2434.1019631199997</v>
      </c>
      <c r="AW5" s="5">
        <f t="shared" si="2"/>
        <v>2764.6187371199999</v>
      </c>
      <c r="AX5" s="5">
        <f t="shared" si="2"/>
        <v>2938.16804112</v>
      </c>
      <c r="AY5" s="5">
        <f t="shared" si="2"/>
        <v>3086.7301951200006</v>
      </c>
      <c r="AZ5" s="5">
        <f t="shared" si="2"/>
        <v>2540.296026</v>
      </c>
      <c r="BA5" s="5">
        <f t="shared" si="2"/>
        <v>2870.8128000000002</v>
      </c>
      <c r="BB5" s="5">
        <f t="shared" si="2"/>
        <v>3044.3621040000003</v>
      </c>
      <c r="BC5" s="5">
        <f t="shared" si="2"/>
        <v>3192.924258</v>
      </c>
      <c r="BD5" s="21">
        <f t="shared" ref="BD5:BG8" si="3">(AF5+AJ5+AN5+AR5+AV5+AZ5)/6</f>
        <v>1956.205292734104</v>
      </c>
      <c r="BE5" s="21">
        <f t="shared" si="3"/>
        <v>2286.7220667341039</v>
      </c>
      <c r="BF5" s="21">
        <f t="shared" si="3"/>
        <v>2460.271370734104</v>
      </c>
      <c r="BG5" s="21">
        <f t="shared" si="3"/>
        <v>2608.8335247341042</v>
      </c>
      <c r="BM5" s="20"/>
      <c r="BN5" s="22"/>
      <c r="BO5" s="20"/>
      <c r="BP5" s="20"/>
      <c r="BQ5" s="20"/>
      <c r="BR5" s="20"/>
      <c r="BS5" s="20"/>
    </row>
    <row r="6" spans="1:71" ht="25.5" hidden="1">
      <c r="B6" s="3" t="s">
        <v>8</v>
      </c>
      <c r="C6" s="4" t="s">
        <v>7</v>
      </c>
      <c r="D6" s="5">
        <v>1583.98</v>
      </c>
      <c r="E6" s="5">
        <v>1861.19</v>
      </c>
      <c r="F6" s="5">
        <v>2006.76</v>
      </c>
      <c r="G6" s="5">
        <v>2131.36</v>
      </c>
      <c r="H6" s="5">
        <v>1777.49</v>
      </c>
      <c r="I6" s="5">
        <v>2054.69</v>
      </c>
      <c r="J6" s="5">
        <v>2200.27</v>
      </c>
      <c r="K6" s="5">
        <v>2324.87</v>
      </c>
      <c r="L6" s="5">
        <v>1712.62</v>
      </c>
      <c r="M6" s="5">
        <v>1989.83</v>
      </c>
      <c r="N6" s="5">
        <v>2135.4</v>
      </c>
      <c r="O6" s="5">
        <v>2260</v>
      </c>
      <c r="P6" s="5">
        <v>1673.65</v>
      </c>
      <c r="Q6" s="5">
        <v>1950.86</v>
      </c>
      <c r="R6" s="5">
        <v>2096.4299999999998</v>
      </c>
      <c r="S6" s="5">
        <v>2221.0300000000002</v>
      </c>
      <c r="T6" s="5">
        <v>1465.67</v>
      </c>
      <c r="U6" s="5">
        <v>1742.87</v>
      </c>
      <c r="V6" s="5">
        <v>1888.45</v>
      </c>
      <c r="W6" s="5">
        <v>2013.05</v>
      </c>
      <c r="X6" s="5">
        <v>1375.09</v>
      </c>
      <c r="Y6" s="5">
        <v>1652.29</v>
      </c>
      <c r="Z6" s="5">
        <v>1797.87</v>
      </c>
      <c r="AA6" s="5">
        <v>1922.47</v>
      </c>
      <c r="AB6" s="21">
        <f t="shared" si="0"/>
        <v>1598.0833333333333</v>
      </c>
      <c r="AC6" s="21">
        <f t="shared" si="0"/>
        <v>1875.2883333333332</v>
      </c>
      <c r="AD6" s="21">
        <f t="shared" si="0"/>
        <v>2020.8633333333335</v>
      </c>
      <c r="AE6" s="21">
        <f t="shared" si="0"/>
        <v>2145.4633333333331</v>
      </c>
      <c r="AF6" s="5">
        <f t="shared" ref="AF6:BC6" si="4">AF15*1.08</f>
        <v>1237.1938936709062</v>
      </c>
      <c r="AG6" s="5">
        <f t="shared" si="4"/>
        <v>1567.7106676709061</v>
      </c>
      <c r="AH6" s="5">
        <f t="shared" si="4"/>
        <v>1741.2599716709065</v>
      </c>
      <c r="AI6" s="5">
        <f t="shared" si="4"/>
        <v>1889.8221256709064</v>
      </c>
      <c r="AJ6" s="5">
        <f t="shared" si="4"/>
        <v>1579.2597176137181</v>
      </c>
      <c r="AK6" s="5">
        <f t="shared" si="4"/>
        <v>1909.7764916137187</v>
      </c>
      <c r="AL6" s="5">
        <f t="shared" si="4"/>
        <v>2083.3257956137186</v>
      </c>
      <c r="AM6" s="5">
        <f t="shared" si="4"/>
        <v>2231.8879496137183</v>
      </c>
      <c r="AN6" s="5">
        <f t="shared" si="4"/>
        <v>1872.3985380000001</v>
      </c>
      <c r="AO6" s="5">
        <f t="shared" si="4"/>
        <v>2202.9153120000005</v>
      </c>
      <c r="AP6" s="5">
        <f t="shared" si="4"/>
        <v>2376.4646159999998</v>
      </c>
      <c r="AQ6" s="5">
        <f t="shared" si="4"/>
        <v>2525.0267699999999</v>
      </c>
      <c r="AR6" s="5">
        <f t="shared" si="4"/>
        <v>2022.6224880000002</v>
      </c>
      <c r="AS6" s="5">
        <f t="shared" si="4"/>
        <v>2353.1392620000001</v>
      </c>
      <c r="AT6" s="5">
        <f t="shared" si="4"/>
        <v>2526.6885659999998</v>
      </c>
      <c r="AU6" s="5">
        <f t="shared" si="4"/>
        <v>2675.2507200000005</v>
      </c>
      <c r="AV6" s="5">
        <f t="shared" si="4"/>
        <v>2414.0369324520002</v>
      </c>
      <c r="AW6" s="5">
        <f t="shared" si="4"/>
        <v>2744.5537064520004</v>
      </c>
      <c r="AX6" s="5">
        <f t="shared" si="4"/>
        <v>2918.1030104520005</v>
      </c>
      <c r="AY6" s="5">
        <f t="shared" si="4"/>
        <v>3066.6651644519998</v>
      </c>
      <c r="AZ6" s="5">
        <f t="shared" si="4"/>
        <v>2519.2706939999998</v>
      </c>
      <c r="BA6" s="5">
        <f t="shared" si="4"/>
        <v>2849.787468</v>
      </c>
      <c r="BB6" s="5">
        <f t="shared" si="4"/>
        <v>3023.3367720000001</v>
      </c>
      <c r="BC6" s="5">
        <f t="shared" si="4"/>
        <v>3171.8989259999998</v>
      </c>
      <c r="BD6" s="21">
        <f t="shared" si="3"/>
        <v>1940.7970439561043</v>
      </c>
      <c r="BE6" s="21">
        <f t="shared" si="3"/>
        <v>2271.3138179561042</v>
      </c>
      <c r="BF6" s="21">
        <f t="shared" si="3"/>
        <v>2444.8631219561039</v>
      </c>
      <c r="BG6" s="21">
        <f t="shared" si="3"/>
        <v>2593.4252759561036</v>
      </c>
      <c r="BM6" s="20"/>
      <c r="BN6" s="20"/>
      <c r="BO6" s="20"/>
      <c r="BP6" s="20"/>
      <c r="BQ6" s="20"/>
      <c r="BR6" s="20"/>
      <c r="BS6" s="20"/>
    </row>
    <row r="7" spans="1:71" ht="25.5" hidden="1">
      <c r="B7" s="3" t="s">
        <v>9</v>
      </c>
      <c r="C7" s="4" t="s">
        <v>7</v>
      </c>
      <c r="D7" s="5">
        <v>1545.03</v>
      </c>
      <c r="E7" s="5">
        <v>1822.24</v>
      </c>
      <c r="F7" s="5">
        <v>1967.81</v>
      </c>
      <c r="G7" s="5">
        <v>2092.41</v>
      </c>
      <c r="H7" s="5">
        <v>1732.65</v>
      </c>
      <c r="I7" s="5">
        <v>2009.85</v>
      </c>
      <c r="J7" s="5">
        <v>2155.4299999999998</v>
      </c>
      <c r="K7" s="5">
        <v>2280.0300000000002</v>
      </c>
      <c r="L7" s="5">
        <v>1669.76</v>
      </c>
      <c r="M7" s="5">
        <v>1946.96</v>
      </c>
      <c r="N7" s="5">
        <v>2092.54</v>
      </c>
      <c r="O7" s="5">
        <v>2217.14</v>
      </c>
      <c r="P7" s="5">
        <v>1631.97</v>
      </c>
      <c r="Q7" s="5">
        <v>1909.18</v>
      </c>
      <c r="R7" s="5">
        <v>2054.75</v>
      </c>
      <c r="S7" s="5">
        <v>2179.35</v>
      </c>
      <c r="T7" s="5">
        <v>1430.32</v>
      </c>
      <c r="U7" s="5">
        <v>1707.52</v>
      </c>
      <c r="V7" s="5">
        <v>1853.1</v>
      </c>
      <c r="W7" s="5">
        <v>1977.69</v>
      </c>
      <c r="X7" s="5">
        <v>1342.49</v>
      </c>
      <c r="Y7" s="5">
        <v>1619.7</v>
      </c>
      <c r="Z7" s="5">
        <v>1765.27</v>
      </c>
      <c r="AA7" s="5">
        <v>1889.87</v>
      </c>
      <c r="AB7" s="21">
        <f t="shared" si="0"/>
        <v>1558.7033333333336</v>
      </c>
      <c r="AC7" s="21">
        <f t="shared" si="0"/>
        <v>1835.9083333333335</v>
      </c>
      <c r="AD7" s="21">
        <f t="shared" si="0"/>
        <v>1981.4833333333333</v>
      </c>
      <c r="AE7" s="21">
        <f t="shared" si="0"/>
        <v>2106.0816666666669</v>
      </c>
      <c r="AF7" s="5">
        <f t="shared" ref="AF7:BC7" si="5">AF16*1.08</f>
        <v>1186.3766536709063</v>
      </c>
      <c r="AG7" s="5">
        <f t="shared" si="5"/>
        <v>1516.893427670906</v>
      </c>
      <c r="AH7" s="5">
        <f t="shared" si="5"/>
        <v>1690.4427316709064</v>
      </c>
      <c r="AI7" s="5">
        <f t="shared" si="5"/>
        <v>1839.0048856709063</v>
      </c>
      <c r="AJ7" s="5">
        <f t="shared" si="5"/>
        <v>1508.5129676137183</v>
      </c>
      <c r="AK7" s="5">
        <f t="shared" si="5"/>
        <v>1839.0297416137184</v>
      </c>
      <c r="AL7" s="5">
        <f t="shared" si="5"/>
        <v>2012.5790456137186</v>
      </c>
      <c r="AM7" s="5">
        <f t="shared" si="5"/>
        <v>2161.1411996137181</v>
      </c>
      <c r="AN7" s="5">
        <f t="shared" si="5"/>
        <v>1784.600316</v>
      </c>
      <c r="AO7" s="5">
        <f t="shared" si="5"/>
        <v>2115.1170900000002</v>
      </c>
      <c r="AP7" s="5">
        <f t="shared" si="5"/>
        <v>2288.6663940000003</v>
      </c>
      <c r="AQ7" s="5">
        <f t="shared" si="5"/>
        <v>2437.228548</v>
      </c>
      <c r="AR7" s="5">
        <f t="shared" si="5"/>
        <v>1926.0697320000002</v>
      </c>
      <c r="AS7" s="5">
        <f t="shared" si="5"/>
        <v>2256.5865060000001</v>
      </c>
      <c r="AT7" s="5">
        <f t="shared" si="5"/>
        <v>2430.1358100000002</v>
      </c>
      <c r="AU7" s="5">
        <f t="shared" si="5"/>
        <v>2578.6979640000004</v>
      </c>
      <c r="AV7" s="5">
        <f t="shared" si="5"/>
        <v>2294.7585742619999</v>
      </c>
      <c r="AW7" s="5">
        <f t="shared" si="5"/>
        <v>2625.2753482620001</v>
      </c>
      <c r="AX7" s="5">
        <f t="shared" si="5"/>
        <v>2798.8246522620002</v>
      </c>
      <c r="AY7" s="5">
        <f t="shared" si="5"/>
        <v>2947.3868062619999</v>
      </c>
      <c r="AZ7" s="5">
        <f t="shared" si="5"/>
        <v>2393.8291800000002</v>
      </c>
      <c r="BA7" s="5">
        <f t="shared" si="5"/>
        <v>2724.3459539999999</v>
      </c>
      <c r="BB7" s="5">
        <f t="shared" si="5"/>
        <v>2897.895258</v>
      </c>
      <c r="BC7" s="5">
        <f t="shared" si="5"/>
        <v>3046.4574119999997</v>
      </c>
      <c r="BD7" s="21">
        <f t="shared" si="3"/>
        <v>1849.0245705911041</v>
      </c>
      <c r="BE7" s="21">
        <f t="shared" si="3"/>
        <v>2179.541344591104</v>
      </c>
      <c r="BF7" s="21">
        <f t="shared" si="3"/>
        <v>2353.0906485911041</v>
      </c>
      <c r="BG7" s="21">
        <f t="shared" si="3"/>
        <v>2501.6528025911043</v>
      </c>
    </row>
    <row r="8" spans="1:71" ht="25.5" hidden="1">
      <c r="B8" s="3" t="s">
        <v>10</v>
      </c>
      <c r="C8" s="4" t="s">
        <v>7</v>
      </c>
      <c r="D8" s="5">
        <v>1513.47</v>
      </c>
      <c r="E8" s="5">
        <v>1790.68</v>
      </c>
      <c r="F8" s="5">
        <v>1936.25</v>
      </c>
      <c r="G8" s="5">
        <v>2060.85</v>
      </c>
      <c r="H8" s="5">
        <v>1696.32</v>
      </c>
      <c r="I8" s="5">
        <v>1973.52</v>
      </c>
      <c r="J8" s="5">
        <v>2119.1</v>
      </c>
      <c r="K8" s="5">
        <v>2243.6999999999998</v>
      </c>
      <c r="L8" s="5">
        <v>1635.03</v>
      </c>
      <c r="M8" s="5">
        <v>1912.23</v>
      </c>
      <c r="N8" s="5">
        <v>2057.81</v>
      </c>
      <c r="O8" s="5">
        <v>2182.41</v>
      </c>
      <c r="P8" s="5">
        <v>1598.2</v>
      </c>
      <c r="Q8" s="5">
        <v>1875.41</v>
      </c>
      <c r="R8" s="5">
        <v>2020.98</v>
      </c>
      <c r="S8" s="5">
        <v>2145.58</v>
      </c>
      <c r="T8" s="5">
        <v>1401.67</v>
      </c>
      <c r="U8" s="5">
        <v>1678.88</v>
      </c>
      <c r="V8" s="5">
        <v>1824.45</v>
      </c>
      <c r="W8" s="5">
        <v>1949.05</v>
      </c>
      <c r="X8" s="5">
        <v>1316.08</v>
      </c>
      <c r="Y8" s="5">
        <v>1593.29</v>
      </c>
      <c r="Z8" s="5">
        <v>1738.86</v>
      </c>
      <c r="AA8" s="5">
        <v>1863.46</v>
      </c>
      <c r="AB8" s="21">
        <f t="shared" si="0"/>
        <v>1526.7950000000001</v>
      </c>
      <c r="AC8" s="21">
        <f t="shared" si="0"/>
        <v>1804.001666666667</v>
      </c>
      <c r="AD8" s="21">
        <f t="shared" si="0"/>
        <v>1949.575</v>
      </c>
      <c r="AE8" s="21">
        <f t="shared" si="0"/>
        <v>2074.1749999999997</v>
      </c>
      <c r="AF8" s="5">
        <f t="shared" ref="AF8:BC8" si="6">AF17*1.08</f>
        <v>1145.3977276709063</v>
      </c>
      <c r="AG8" s="5">
        <f t="shared" si="6"/>
        <v>1475.914501670906</v>
      </c>
      <c r="AH8" s="5">
        <f t="shared" si="6"/>
        <v>1649.4638056709064</v>
      </c>
      <c r="AI8" s="5">
        <f t="shared" si="6"/>
        <v>1798.0259596709066</v>
      </c>
      <c r="AJ8" s="5">
        <f t="shared" si="6"/>
        <v>1451.470013613718</v>
      </c>
      <c r="AK8" s="5">
        <f t="shared" si="6"/>
        <v>1781.9867876137182</v>
      </c>
      <c r="AL8" s="5">
        <f t="shared" si="6"/>
        <v>1955.5360916137183</v>
      </c>
      <c r="AM8" s="5">
        <f t="shared" si="6"/>
        <v>2104.0982456137181</v>
      </c>
      <c r="AN8" s="5">
        <f t="shared" si="6"/>
        <v>1713.7933559999999</v>
      </c>
      <c r="AO8" s="5">
        <f t="shared" si="6"/>
        <v>2044.3101300000003</v>
      </c>
      <c r="AP8" s="5">
        <f t="shared" si="6"/>
        <v>2217.8594340000004</v>
      </c>
      <c r="AQ8" s="5">
        <f t="shared" si="6"/>
        <v>2366.4215880000002</v>
      </c>
      <c r="AR8" s="5">
        <f t="shared" si="6"/>
        <v>1848.1579920000004</v>
      </c>
      <c r="AS8" s="5">
        <f t="shared" si="6"/>
        <v>2178.6747660000001</v>
      </c>
      <c r="AT8" s="5">
        <f t="shared" si="6"/>
        <v>2352.2240700000002</v>
      </c>
      <c r="AU8" s="5">
        <f t="shared" si="6"/>
        <v>2500.7862240000004</v>
      </c>
      <c r="AV8" s="5">
        <f t="shared" si="6"/>
        <v>2198.4929477100004</v>
      </c>
      <c r="AW8" s="5">
        <f t="shared" si="6"/>
        <v>2529.0097217100001</v>
      </c>
      <c r="AX8" s="5">
        <f t="shared" si="6"/>
        <v>2702.5590257100002</v>
      </c>
      <c r="AY8" s="5">
        <f t="shared" si="6"/>
        <v>2851.12117971</v>
      </c>
      <c r="AZ8" s="5">
        <f t="shared" si="6"/>
        <v>2292.6763800000003</v>
      </c>
      <c r="BA8" s="5">
        <f t="shared" si="6"/>
        <v>2623.193154</v>
      </c>
      <c r="BB8" s="5">
        <f t="shared" si="6"/>
        <v>2796.7424580000002</v>
      </c>
      <c r="BC8" s="5">
        <f t="shared" si="6"/>
        <v>2945.3046119999999</v>
      </c>
      <c r="BD8" s="21">
        <f t="shared" si="3"/>
        <v>1774.9980694991045</v>
      </c>
      <c r="BE8" s="21">
        <f t="shared" si="3"/>
        <v>2105.5148434991042</v>
      </c>
      <c r="BF8" s="21">
        <f t="shared" si="3"/>
        <v>2279.0641474991044</v>
      </c>
      <c r="BG8" s="21">
        <f t="shared" si="3"/>
        <v>2427.6263014991041</v>
      </c>
    </row>
    <row r="9" spans="1:71" ht="27.75" hidden="1" customHeight="1">
      <c r="BM9" s="20"/>
      <c r="BN9" s="20"/>
      <c r="BO9" s="20"/>
      <c r="BP9" s="20"/>
      <c r="BQ9" s="20"/>
      <c r="BR9" s="20"/>
      <c r="BS9" s="20"/>
    </row>
    <row r="10" spans="1:71" hidden="1">
      <c r="BM10" s="20"/>
      <c r="BN10" s="20"/>
      <c r="BO10" s="20"/>
      <c r="BP10" s="20"/>
      <c r="BQ10" s="20"/>
      <c r="BR10" s="20"/>
      <c r="BS10" s="20"/>
    </row>
    <row r="11" spans="1:71" hidden="1">
      <c r="BM11" s="20"/>
      <c r="BN11" s="20"/>
      <c r="BO11" s="20"/>
      <c r="BP11" s="20"/>
      <c r="BQ11" s="20"/>
      <c r="BR11" s="20"/>
      <c r="BS11" s="20"/>
    </row>
    <row r="12" spans="1:71" hidden="1">
      <c r="B12" s="777" t="s">
        <v>0</v>
      </c>
      <c r="C12" s="778"/>
      <c r="D12" s="775">
        <v>41821</v>
      </c>
      <c r="E12" s="776"/>
      <c r="F12" s="776"/>
      <c r="G12" s="776"/>
      <c r="H12" s="775">
        <v>41852</v>
      </c>
      <c r="I12" s="776"/>
      <c r="J12" s="776"/>
      <c r="K12" s="776"/>
      <c r="L12" s="775">
        <v>41883</v>
      </c>
      <c r="M12" s="776"/>
      <c r="N12" s="776"/>
      <c r="O12" s="776"/>
      <c r="P12" s="775">
        <v>41913</v>
      </c>
      <c r="Q12" s="776"/>
      <c r="R12" s="776"/>
      <c r="S12" s="776"/>
      <c r="T12" s="775">
        <v>41944</v>
      </c>
      <c r="U12" s="776"/>
      <c r="V12" s="776"/>
      <c r="W12" s="776"/>
      <c r="X12" s="775">
        <v>41974</v>
      </c>
      <c r="Y12" s="776"/>
      <c r="Z12" s="776"/>
      <c r="AA12" s="776"/>
      <c r="AB12" s="784" t="s">
        <v>1</v>
      </c>
      <c r="AC12" s="784"/>
      <c r="AD12" s="784"/>
      <c r="AE12" s="784"/>
      <c r="AF12" s="777" t="s">
        <v>17</v>
      </c>
      <c r="AG12" s="785"/>
      <c r="AH12" s="785"/>
      <c r="AI12" s="778"/>
      <c r="AJ12" s="777" t="s">
        <v>18</v>
      </c>
      <c r="AK12" s="785"/>
      <c r="AL12" s="785"/>
      <c r="AM12" s="778"/>
      <c r="AN12" s="777" t="s">
        <v>19</v>
      </c>
      <c r="AO12" s="785"/>
      <c r="AP12" s="785"/>
      <c r="AQ12" s="778"/>
      <c r="AR12" s="777" t="s">
        <v>20</v>
      </c>
      <c r="AS12" s="785"/>
      <c r="AT12" s="785"/>
      <c r="AU12" s="778"/>
      <c r="AV12" s="777" t="s">
        <v>21</v>
      </c>
      <c r="AW12" s="785"/>
      <c r="AX12" s="785"/>
      <c r="AY12" s="778"/>
      <c r="AZ12" s="777" t="s">
        <v>22</v>
      </c>
      <c r="BA12" s="785"/>
      <c r="BB12" s="785"/>
      <c r="BC12" s="778"/>
      <c r="BD12" s="772" t="s">
        <v>25</v>
      </c>
      <c r="BE12" s="772"/>
      <c r="BF12" s="772"/>
      <c r="BG12" s="772"/>
      <c r="BM12" s="20"/>
      <c r="BN12" s="20"/>
      <c r="BO12" s="20"/>
      <c r="BP12" s="20"/>
      <c r="BQ12" s="20"/>
      <c r="BR12" s="20"/>
      <c r="BS12" s="20"/>
    </row>
    <row r="13" spans="1:71" hidden="1">
      <c r="B13" s="779"/>
      <c r="C13" s="780"/>
      <c r="D13" s="649" t="s">
        <v>2</v>
      </c>
      <c r="E13" s="649" t="s">
        <v>3</v>
      </c>
      <c r="F13" s="649" t="s">
        <v>4</v>
      </c>
      <c r="G13" s="649" t="s">
        <v>5</v>
      </c>
      <c r="H13" s="649" t="s">
        <v>2</v>
      </c>
      <c r="I13" s="649" t="s">
        <v>3</v>
      </c>
      <c r="J13" s="649" t="s">
        <v>4</v>
      </c>
      <c r="K13" s="649" t="s">
        <v>5</v>
      </c>
      <c r="L13" s="1" t="s">
        <v>2</v>
      </c>
      <c r="M13" s="1" t="s">
        <v>3</v>
      </c>
      <c r="N13" s="1" t="s">
        <v>4</v>
      </c>
      <c r="O13" s="1" t="s">
        <v>5</v>
      </c>
      <c r="P13" s="2" t="s">
        <v>2</v>
      </c>
      <c r="Q13" s="2" t="s">
        <v>3</v>
      </c>
      <c r="R13" s="2" t="s">
        <v>4</v>
      </c>
      <c r="S13" s="2" t="s">
        <v>5</v>
      </c>
      <c r="T13" s="1" t="s">
        <v>2</v>
      </c>
      <c r="U13" s="1" t="s">
        <v>3</v>
      </c>
      <c r="V13" s="1" t="s">
        <v>4</v>
      </c>
      <c r="W13" s="1" t="s">
        <v>5</v>
      </c>
      <c r="X13" s="2" t="s">
        <v>2</v>
      </c>
      <c r="Y13" s="2" t="s">
        <v>3</v>
      </c>
      <c r="Z13" s="2" t="s">
        <v>4</v>
      </c>
      <c r="AA13" s="2" t="s">
        <v>5</v>
      </c>
      <c r="AB13" s="1" t="s">
        <v>2</v>
      </c>
      <c r="AC13" s="1" t="s">
        <v>3</v>
      </c>
      <c r="AD13" s="1" t="s">
        <v>4</v>
      </c>
      <c r="AE13" s="1" t="s">
        <v>5</v>
      </c>
      <c r="AF13" s="8" t="s">
        <v>2</v>
      </c>
      <c r="AG13" s="8" t="s">
        <v>3</v>
      </c>
      <c r="AH13" s="8" t="s">
        <v>4</v>
      </c>
      <c r="AI13" s="8" t="s">
        <v>5</v>
      </c>
      <c r="AJ13" s="8" t="s">
        <v>2</v>
      </c>
      <c r="AK13" s="8" t="s">
        <v>3</v>
      </c>
      <c r="AL13" s="8" t="s">
        <v>4</v>
      </c>
      <c r="AM13" s="8" t="s">
        <v>5</v>
      </c>
      <c r="AN13" s="1" t="s">
        <v>2</v>
      </c>
      <c r="AO13" s="1" t="s">
        <v>3</v>
      </c>
      <c r="AP13" s="1" t="s">
        <v>4</v>
      </c>
      <c r="AQ13" s="1" t="s">
        <v>5</v>
      </c>
      <c r="AR13" s="2" t="s">
        <v>2</v>
      </c>
      <c r="AS13" s="2" t="s">
        <v>3</v>
      </c>
      <c r="AT13" s="2" t="s">
        <v>4</v>
      </c>
      <c r="AU13" s="2" t="s">
        <v>5</v>
      </c>
      <c r="AV13" s="1" t="s">
        <v>2</v>
      </c>
      <c r="AW13" s="1" t="s">
        <v>3</v>
      </c>
      <c r="AX13" s="1" t="s">
        <v>4</v>
      </c>
      <c r="AY13" s="1" t="s">
        <v>5</v>
      </c>
      <c r="AZ13" s="2" t="s">
        <v>2</v>
      </c>
      <c r="BA13" s="2" t="s">
        <v>3</v>
      </c>
      <c r="BB13" s="2" t="s">
        <v>4</v>
      </c>
      <c r="BC13" s="2" t="s">
        <v>5</v>
      </c>
      <c r="BD13" s="2" t="s">
        <v>2</v>
      </c>
      <c r="BE13" s="2" t="s">
        <v>3</v>
      </c>
      <c r="BF13" s="2" t="s">
        <v>4</v>
      </c>
      <c r="BG13" s="2" t="s">
        <v>5</v>
      </c>
      <c r="BM13" s="20"/>
      <c r="BN13" s="20"/>
      <c r="BO13" s="20"/>
      <c r="BP13" s="20"/>
      <c r="BQ13" s="20"/>
      <c r="BR13" s="20"/>
      <c r="BS13" s="20"/>
    </row>
    <row r="14" spans="1:71" ht="24.75" hidden="1" customHeight="1">
      <c r="B14" s="3" t="s">
        <v>6</v>
      </c>
      <c r="C14" s="4" t="s">
        <v>7</v>
      </c>
      <c r="D14" s="5">
        <v>1392.38</v>
      </c>
      <c r="E14" s="5">
        <v>1697.31</v>
      </c>
      <c r="F14" s="5">
        <v>1857.43</v>
      </c>
      <c r="G14" s="5">
        <v>1994.5</v>
      </c>
      <c r="H14" s="5">
        <v>965</v>
      </c>
      <c r="I14" s="5">
        <v>1269.93</v>
      </c>
      <c r="J14" s="5">
        <v>1430.05</v>
      </c>
      <c r="K14" s="5">
        <v>1567.11</v>
      </c>
      <c r="L14" s="5">
        <v>1431.09</v>
      </c>
      <c r="M14" s="5">
        <v>1736.02</v>
      </c>
      <c r="N14" s="5">
        <v>1896.14</v>
      </c>
      <c r="O14" s="5">
        <v>2033.2</v>
      </c>
      <c r="P14" s="5">
        <v>1351.23</v>
      </c>
      <c r="Q14" s="5">
        <v>1656.17</v>
      </c>
      <c r="R14" s="5">
        <v>1816.28</v>
      </c>
      <c r="S14" s="5">
        <v>1953.35</v>
      </c>
      <c r="T14" s="5">
        <v>1596.7</v>
      </c>
      <c r="U14" s="5">
        <v>1901.64</v>
      </c>
      <c r="V14" s="5">
        <v>2061.75</v>
      </c>
      <c r="W14" s="5">
        <v>2198.8200000000002</v>
      </c>
      <c r="X14" s="5">
        <v>1504.44</v>
      </c>
      <c r="Y14" s="5">
        <v>1809.38</v>
      </c>
      <c r="Z14" s="5">
        <v>1969.5</v>
      </c>
      <c r="AA14" s="5">
        <v>2106.56</v>
      </c>
      <c r="AB14" s="21">
        <f t="shared" ref="AB14:AE17" si="7">(D14+H14+L14+P14+T14+X14)/6</f>
        <v>1373.4733333333334</v>
      </c>
      <c r="AC14" s="21">
        <f t="shared" si="7"/>
        <v>1678.4083333333335</v>
      </c>
      <c r="AD14" s="21">
        <f t="shared" si="7"/>
        <v>1838.5249999999999</v>
      </c>
      <c r="AE14" s="21">
        <f t="shared" si="7"/>
        <v>1975.59</v>
      </c>
      <c r="AF14" s="5">
        <f t="shared" ref="AF14:AO17" si="8">D31*1.115</f>
        <v>1153.4441015471352</v>
      </c>
      <c r="AG14" s="5">
        <f t="shared" si="8"/>
        <v>1459.4781515471352</v>
      </c>
      <c r="AH14" s="5">
        <f t="shared" si="8"/>
        <v>1620.1719515471352</v>
      </c>
      <c r="AI14" s="5">
        <f t="shared" si="8"/>
        <v>1757.7295015471354</v>
      </c>
      <c r="AJ14" s="5">
        <f t="shared" si="8"/>
        <v>1473.2602663089981</v>
      </c>
      <c r="AK14" s="5">
        <f t="shared" si="8"/>
        <v>1779.2943163089985</v>
      </c>
      <c r="AL14" s="5">
        <f t="shared" si="8"/>
        <v>1939.9881163089983</v>
      </c>
      <c r="AM14" s="5">
        <f t="shared" si="8"/>
        <v>2077.5456663089981</v>
      </c>
      <c r="AN14" s="5">
        <f t="shared" si="8"/>
        <v>1747.3388000000002</v>
      </c>
      <c r="AO14" s="5">
        <f t="shared" si="8"/>
        <v>2053.3728500000002</v>
      </c>
      <c r="AP14" s="5">
        <f t="shared" ref="AP14:AY17" si="9">N31*1.115</f>
        <v>2214.0666500000002</v>
      </c>
      <c r="AQ14" s="5">
        <f t="shared" si="9"/>
        <v>2351.6241999999997</v>
      </c>
      <c r="AR14" s="5">
        <f t="shared" si="9"/>
        <v>1887.83995</v>
      </c>
      <c r="AS14" s="5">
        <f t="shared" si="9"/>
        <v>2193.8739999999998</v>
      </c>
      <c r="AT14" s="5">
        <f t="shared" si="9"/>
        <v>2354.5678000000003</v>
      </c>
      <c r="AU14" s="5">
        <f t="shared" si="9"/>
        <v>2492.1253500000003</v>
      </c>
      <c r="AV14" s="5">
        <f t="shared" si="9"/>
        <v>2253.7981139999997</v>
      </c>
      <c r="AW14" s="5">
        <f t="shared" si="9"/>
        <v>2559.8321639999999</v>
      </c>
      <c r="AX14" s="5">
        <f t="shared" si="9"/>
        <v>2720.5259639999999</v>
      </c>
      <c r="AY14" s="5">
        <f t="shared" si="9"/>
        <v>2858.0835140000004</v>
      </c>
      <c r="AZ14" s="5">
        <f t="shared" ref="AZ14:BC17" si="10">X31*1.115</f>
        <v>2352.1259499999996</v>
      </c>
      <c r="BA14" s="5">
        <f t="shared" si="10"/>
        <v>2658.16</v>
      </c>
      <c r="BB14" s="5">
        <f t="shared" si="10"/>
        <v>2818.8537999999999</v>
      </c>
      <c r="BC14" s="5">
        <f t="shared" si="10"/>
        <v>2956.4113499999999</v>
      </c>
      <c r="BD14" s="21">
        <f t="shared" ref="BD14:BG17" si="11">(AF14+AJ14+AN14+AR14+AV14+AZ14)/6</f>
        <v>1811.3011969760221</v>
      </c>
      <c r="BE14" s="21">
        <f t="shared" si="11"/>
        <v>2117.3352469760221</v>
      </c>
      <c r="BF14" s="21">
        <f t="shared" si="11"/>
        <v>2278.0290469760225</v>
      </c>
      <c r="BG14" s="21">
        <f t="shared" si="11"/>
        <v>2415.5865969760221</v>
      </c>
      <c r="BM14" s="20"/>
      <c r="BN14" s="22"/>
      <c r="BO14" s="20"/>
      <c r="BP14" s="20"/>
      <c r="BQ14" s="20"/>
      <c r="BR14" s="20"/>
      <c r="BS14" s="20"/>
    </row>
    <row r="15" spans="1:71" ht="25.5" hidden="1">
      <c r="B15" s="3" t="s">
        <v>8</v>
      </c>
      <c r="C15" s="4" t="s">
        <v>7</v>
      </c>
      <c r="D15" s="5">
        <v>1386.88</v>
      </c>
      <c r="E15" s="5">
        <v>1691.82</v>
      </c>
      <c r="F15" s="5">
        <v>1851.93</v>
      </c>
      <c r="G15" s="5">
        <v>1989</v>
      </c>
      <c r="H15" s="5">
        <v>961.72</v>
      </c>
      <c r="I15" s="5">
        <v>1266.6500000000001</v>
      </c>
      <c r="J15" s="5">
        <v>1426.77</v>
      </c>
      <c r="K15" s="5">
        <v>1563.84</v>
      </c>
      <c r="L15" s="5">
        <v>1425.39</v>
      </c>
      <c r="M15" s="5">
        <v>1730.32</v>
      </c>
      <c r="N15" s="5">
        <v>1890.44</v>
      </c>
      <c r="O15" s="5">
        <v>2027.5</v>
      </c>
      <c r="P15" s="5">
        <v>1345.95</v>
      </c>
      <c r="Q15" s="5">
        <v>1650.89</v>
      </c>
      <c r="R15" s="5">
        <v>1811</v>
      </c>
      <c r="S15" s="5">
        <v>1948.07</v>
      </c>
      <c r="T15" s="5">
        <v>1590.14</v>
      </c>
      <c r="U15" s="5">
        <v>1895.07</v>
      </c>
      <c r="V15" s="5">
        <v>2055.19</v>
      </c>
      <c r="W15" s="5">
        <v>2192.2600000000002</v>
      </c>
      <c r="X15" s="5">
        <v>1498.36</v>
      </c>
      <c r="Y15" s="5">
        <v>1803.3</v>
      </c>
      <c r="Z15" s="5">
        <v>1963.41</v>
      </c>
      <c r="AA15" s="5">
        <v>2100.48</v>
      </c>
      <c r="AB15" s="21">
        <f t="shared" si="7"/>
        <v>1368.0733333333335</v>
      </c>
      <c r="AC15" s="21">
        <f t="shared" si="7"/>
        <v>1673.0083333333332</v>
      </c>
      <c r="AD15" s="21">
        <f t="shared" si="7"/>
        <v>1833.1233333333332</v>
      </c>
      <c r="AE15" s="21">
        <f t="shared" si="7"/>
        <v>1970.1916666666666</v>
      </c>
      <c r="AF15" s="5">
        <f t="shared" si="8"/>
        <v>1145.5499015471353</v>
      </c>
      <c r="AG15" s="5">
        <f t="shared" si="8"/>
        <v>1451.5839515471353</v>
      </c>
      <c r="AH15" s="5">
        <f t="shared" si="8"/>
        <v>1612.2777515471355</v>
      </c>
      <c r="AI15" s="5">
        <f t="shared" si="8"/>
        <v>1749.8353015471355</v>
      </c>
      <c r="AJ15" s="5">
        <f t="shared" si="8"/>
        <v>1462.2775163089982</v>
      </c>
      <c r="AK15" s="5">
        <f t="shared" si="8"/>
        <v>1768.3115663089986</v>
      </c>
      <c r="AL15" s="5">
        <f t="shared" si="8"/>
        <v>1929.0053663089984</v>
      </c>
      <c r="AM15" s="5">
        <f t="shared" si="8"/>
        <v>2066.5629163089984</v>
      </c>
      <c r="AN15" s="5">
        <f t="shared" si="8"/>
        <v>1733.70235</v>
      </c>
      <c r="AO15" s="5">
        <f t="shared" si="8"/>
        <v>2039.7364000000002</v>
      </c>
      <c r="AP15" s="5">
        <f t="shared" si="9"/>
        <v>2200.4301999999998</v>
      </c>
      <c r="AQ15" s="5">
        <f t="shared" si="9"/>
        <v>2337.9877499999998</v>
      </c>
      <c r="AR15" s="5">
        <f t="shared" si="9"/>
        <v>1872.7986000000001</v>
      </c>
      <c r="AS15" s="5">
        <f t="shared" si="9"/>
        <v>2178.8326499999998</v>
      </c>
      <c r="AT15" s="5">
        <f t="shared" si="9"/>
        <v>2339.5264499999998</v>
      </c>
      <c r="AU15" s="5">
        <f t="shared" si="9"/>
        <v>2477.0840000000003</v>
      </c>
      <c r="AV15" s="5">
        <f t="shared" si="9"/>
        <v>2235.2193818999999</v>
      </c>
      <c r="AW15" s="5">
        <f t="shared" si="9"/>
        <v>2541.2534319000001</v>
      </c>
      <c r="AX15" s="5">
        <f t="shared" si="9"/>
        <v>2701.9472319000001</v>
      </c>
      <c r="AY15" s="5">
        <f t="shared" si="9"/>
        <v>2839.5047818999997</v>
      </c>
      <c r="AZ15" s="5">
        <f t="shared" si="10"/>
        <v>2332.6580499999995</v>
      </c>
      <c r="BA15" s="5">
        <f t="shared" si="10"/>
        <v>2638.6920999999998</v>
      </c>
      <c r="BB15" s="5">
        <f t="shared" si="10"/>
        <v>2799.3858999999998</v>
      </c>
      <c r="BC15" s="5">
        <f t="shared" si="10"/>
        <v>2936.9434499999998</v>
      </c>
      <c r="BD15" s="21">
        <f t="shared" si="11"/>
        <v>1797.0342999593556</v>
      </c>
      <c r="BE15" s="21">
        <f t="shared" si="11"/>
        <v>2103.0683499593556</v>
      </c>
      <c r="BF15" s="21">
        <f t="shared" si="11"/>
        <v>2263.7621499593556</v>
      </c>
      <c r="BG15" s="21">
        <f t="shared" si="11"/>
        <v>2401.3196999593551</v>
      </c>
      <c r="BM15" s="20"/>
      <c r="BN15" s="20"/>
      <c r="BO15" s="20"/>
      <c r="BP15" s="20"/>
      <c r="BQ15" s="20"/>
      <c r="BR15" s="20"/>
      <c r="BS15" s="20"/>
    </row>
    <row r="16" spans="1:71" ht="25.5" hidden="1">
      <c r="B16" s="3" t="s">
        <v>9</v>
      </c>
      <c r="C16" s="4" t="s">
        <v>7</v>
      </c>
      <c r="D16" s="5">
        <v>1354.85</v>
      </c>
      <c r="E16" s="5">
        <v>1659.79</v>
      </c>
      <c r="F16" s="5">
        <v>1819.9</v>
      </c>
      <c r="G16" s="5">
        <v>1956.97</v>
      </c>
      <c r="H16" s="5">
        <v>942.62</v>
      </c>
      <c r="I16" s="5">
        <v>1247.56</v>
      </c>
      <c r="J16" s="5">
        <v>1407.68</v>
      </c>
      <c r="K16" s="5">
        <v>1544.74</v>
      </c>
      <c r="L16" s="5">
        <v>1392.18</v>
      </c>
      <c r="M16" s="5">
        <v>1697.12</v>
      </c>
      <c r="N16" s="5">
        <v>1857.24</v>
      </c>
      <c r="O16" s="5">
        <v>1994.3</v>
      </c>
      <c r="P16" s="5">
        <v>1315.2</v>
      </c>
      <c r="Q16" s="5">
        <v>1620.13</v>
      </c>
      <c r="R16" s="5">
        <v>1780.25</v>
      </c>
      <c r="S16" s="5">
        <v>1917.32</v>
      </c>
      <c r="T16" s="5">
        <v>1551.92</v>
      </c>
      <c r="U16" s="5">
        <v>1856.85</v>
      </c>
      <c r="V16" s="5">
        <v>2016.97</v>
      </c>
      <c r="W16" s="5">
        <v>2154.0300000000002</v>
      </c>
      <c r="X16" s="5">
        <v>1462.93</v>
      </c>
      <c r="Y16" s="5">
        <v>1767.87</v>
      </c>
      <c r="Z16" s="5">
        <v>1927.98</v>
      </c>
      <c r="AA16" s="5">
        <v>2065.0500000000002</v>
      </c>
      <c r="AB16" s="21">
        <f t="shared" si="7"/>
        <v>1336.6166666666666</v>
      </c>
      <c r="AC16" s="21">
        <f t="shared" si="7"/>
        <v>1641.5533333333333</v>
      </c>
      <c r="AD16" s="21">
        <f t="shared" si="7"/>
        <v>1801.6699999999998</v>
      </c>
      <c r="AE16" s="21">
        <f t="shared" si="7"/>
        <v>1938.7349999999999</v>
      </c>
      <c r="AF16" s="5">
        <f t="shared" si="8"/>
        <v>1098.4969015471354</v>
      </c>
      <c r="AG16" s="5">
        <f t="shared" si="8"/>
        <v>1404.5309515471351</v>
      </c>
      <c r="AH16" s="5">
        <f t="shared" si="8"/>
        <v>1565.2247515471354</v>
      </c>
      <c r="AI16" s="5">
        <f t="shared" si="8"/>
        <v>1702.7823015471354</v>
      </c>
      <c r="AJ16" s="5">
        <f t="shared" si="8"/>
        <v>1396.7712663089983</v>
      </c>
      <c r="AK16" s="5">
        <f t="shared" si="8"/>
        <v>1702.8053163089985</v>
      </c>
      <c r="AL16" s="5">
        <f t="shared" si="8"/>
        <v>1863.4991163089985</v>
      </c>
      <c r="AM16" s="5">
        <f t="shared" si="8"/>
        <v>2001.0566663089983</v>
      </c>
      <c r="AN16" s="5">
        <f t="shared" si="8"/>
        <v>1652.4077</v>
      </c>
      <c r="AO16" s="5">
        <f t="shared" si="8"/>
        <v>1958.44175</v>
      </c>
      <c r="AP16" s="5">
        <f t="shared" si="9"/>
        <v>2119.13555</v>
      </c>
      <c r="AQ16" s="5">
        <f t="shared" si="9"/>
        <v>2256.6931</v>
      </c>
      <c r="AR16" s="5">
        <f t="shared" si="9"/>
        <v>1783.3978999999999</v>
      </c>
      <c r="AS16" s="5">
        <f t="shared" si="9"/>
        <v>2089.4319500000001</v>
      </c>
      <c r="AT16" s="5">
        <f t="shared" si="9"/>
        <v>2250.1257500000002</v>
      </c>
      <c r="AU16" s="5">
        <f t="shared" si="9"/>
        <v>2387.6833000000001</v>
      </c>
      <c r="AV16" s="5">
        <f t="shared" si="9"/>
        <v>2124.7764576499999</v>
      </c>
      <c r="AW16" s="5">
        <f t="shared" si="9"/>
        <v>2430.8105076500001</v>
      </c>
      <c r="AX16" s="5">
        <f t="shared" si="9"/>
        <v>2591.5043076500001</v>
      </c>
      <c r="AY16" s="5">
        <f t="shared" si="9"/>
        <v>2729.0618576499996</v>
      </c>
      <c r="AZ16" s="5">
        <f t="shared" si="10"/>
        <v>2216.5084999999999</v>
      </c>
      <c r="BA16" s="5">
        <f t="shared" si="10"/>
        <v>2522.5425499999997</v>
      </c>
      <c r="BB16" s="5">
        <f t="shared" si="10"/>
        <v>2683.2363499999997</v>
      </c>
      <c r="BC16" s="5">
        <f t="shared" si="10"/>
        <v>2820.7938999999997</v>
      </c>
      <c r="BD16" s="21">
        <f t="shared" si="11"/>
        <v>1712.0597875843557</v>
      </c>
      <c r="BE16" s="21">
        <f t="shared" si="11"/>
        <v>2018.0938375843555</v>
      </c>
      <c r="BF16" s="21">
        <f t="shared" si="11"/>
        <v>2178.7876375843557</v>
      </c>
      <c r="BG16" s="21">
        <f t="shared" si="11"/>
        <v>2316.3451875843552</v>
      </c>
    </row>
    <row r="17" spans="1:71" ht="25.5" hidden="1">
      <c r="B17" s="3" t="s">
        <v>10</v>
      </c>
      <c r="C17" s="4" t="s">
        <v>7</v>
      </c>
      <c r="D17" s="5">
        <v>1328.9</v>
      </c>
      <c r="E17" s="5">
        <v>1633.83</v>
      </c>
      <c r="F17" s="5">
        <v>1793.95</v>
      </c>
      <c r="G17" s="5">
        <v>1931.02</v>
      </c>
      <c r="H17" s="5">
        <v>927.16</v>
      </c>
      <c r="I17" s="5">
        <v>1232.0899999999999</v>
      </c>
      <c r="J17" s="5">
        <v>1392.21</v>
      </c>
      <c r="K17" s="5">
        <v>1529.27</v>
      </c>
      <c r="L17" s="5">
        <v>1365.28</v>
      </c>
      <c r="M17" s="5">
        <v>1670.22</v>
      </c>
      <c r="N17" s="5">
        <v>1830.34</v>
      </c>
      <c r="O17" s="5">
        <v>1967.4</v>
      </c>
      <c r="P17" s="5">
        <v>1290.28</v>
      </c>
      <c r="Q17" s="5">
        <v>1595.22</v>
      </c>
      <c r="R17" s="5">
        <v>1755.34</v>
      </c>
      <c r="S17" s="5">
        <v>1892.4</v>
      </c>
      <c r="T17" s="5">
        <v>1520.95</v>
      </c>
      <c r="U17" s="5">
        <v>1825.88</v>
      </c>
      <c r="V17" s="5">
        <v>1986</v>
      </c>
      <c r="W17" s="5">
        <v>2123.06</v>
      </c>
      <c r="X17" s="5">
        <v>1434.23</v>
      </c>
      <c r="Y17" s="5">
        <v>1739.16</v>
      </c>
      <c r="Z17" s="5">
        <v>1899.28</v>
      </c>
      <c r="AA17" s="5">
        <v>2036.34</v>
      </c>
      <c r="AB17" s="21">
        <f t="shared" si="7"/>
        <v>1311.1333333333332</v>
      </c>
      <c r="AC17" s="21">
        <f t="shared" si="7"/>
        <v>1616.0666666666668</v>
      </c>
      <c r="AD17" s="21">
        <f t="shared" si="7"/>
        <v>1776.1866666666667</v>
      </c>
      <c r="AE17" s="21">
        <f t="shared" si="7"/>
        <v>1913.2483333333332</v>
      </c>
      <c r="AF17" s="5">
        <f t="shared" si="8"/>
        <v>1060.5534515471354</v>
      </c>
      <c r="AG17" s="5">
        <f t="shared" si="8"/>
        <v>1366.5875015471352</v>
      </c>
      <c r="AH17" s="5">
        <f t="shared" si="8"/>
        <v>1527.2813015471354</v>
      </c>
      <c r="AI17" s="5">
        <f t="shared" si="8"/>
        <v>1664.8388515471356</v>
      </c>
      <c r="AJ17" s="5">
        <f t="shared" si="8"/>
        <v>1343.9537163089981</v>
      </c>
      <c r="AK17" s="5">
        <f t="shared" si="8"/>
        <v>1649.9877663089983</v>
      </c>
      <c r="AL17" s="5">
        <f t="shared" si="8"/>
        <v>1810.6815663089983</v>
      </c>
      <c r="AM17" s="5">
        <f t="shared" si="8"/>
        <v>1948.2391163089981</v>
      </c>
      <c r="AN17" s="5">
        <f t="shared" si="8"/>
        <v>1586.8456999999999</v>
      </c>
      <c r="AO17" s="5">
        <f t="shared" si="8"/>
        <v>1892.8797500000001</v>
      </c>
      <c r="AP17" s="5">
        <f t="shared" si="9"/>
        <v>2053.5735500000001</v>
      </c>
      <c r="AQ17" s="5">
        <f t="shared" si="9"/>
        <v>2191.1311000000001</v>
      </c>
      <c r="AR17" s="5">
        <f t="shared" si="9"/>
        <v>1711.2574000000002</v>
      </c>
      <c r="AS17" s="5">
        <f t="shared" si="9"/>
        <v>2017.2914499999999</v>
      </c>
      <c r="AT17" s="5">
        <f t="shared" si="9"/>
        <v>2177.9852500000002</v>
      </c>
      <c r="AU17" s="5">
        <f t="shared" si="9"/>
        <v>2315.5428000000002</v>
      </c>
      <c r="AV17" s="5">
        <f t="shared" si="9"/>
        <v>2035.6416182500002</v>
      </c>
      <c r="AW17" s="5">
        <f t="shared" si="9"/>
        <v>2341.6756682499999</v>
      </c>
      <c r="AX17" s="5">
        <f t="shared" si="9"/>
        <v>2502.36946825</v>
      </c>
      <c r="AY17" s="5">
        <f t="shared" si="9"/>
        <v>2639.9270182499999</v>
      </c>
      <c r="AZ17" s="5">
        <f t="shared" si="10"/>
        <v>2122.8485000000001</v>
      </c>
      <c r="BA17" s="5">
        <f t="shared" si="10"/>
        <v>2428.8825499999998</v>
      </c>
      <c r="BB17" s="5">
        <f t="shared" si="10"/>
        <v>2589.5763499999998</v>
      </c>
      <c r="BC17" s="5">
        <f t="shared" si="10"/>
        <v>2727.1338999999998</v>
      </c>
      <c r="BD17" s="21">
        <f t="shared" si="11"/>
        <v>1643.5167310176892</v>
      </c>
      <c r="BE17" s="21">
        <f t="shared" si="11"/>
        <v>1949.5507810176887</v>
      </c>
      <c r="BF17" s="21">
        <f t="shared" si="11"/>
        <v>2110.2445810176887</v>
      </c>
      <c r="BG17" s="21">
        <f t="shared" si="11"/>
        <v>2247.8021310176887</v>
      </c>
    </row>
    <row r="18" spans="1:71" hidden="1"/>
    <row r="19" spans="1:71" s="7" customFormat="1" ht="15.75" hidden="1">
      <c r="A19" s="7" t="s">
        <v>30</v>
      </c>
      <c r="B19" s="7" t="s">
        <v>30</v>
      </c>
    </row>
    <row r="20" spans="1:71" s="10" customFormat="1" ht="24" customHeight="1">
      <c r="A20" s="773" t="s">
        <v>277</v>
      </c>
      <c r="B20" s="774"/>
      <c r="C20" s="774"/>
      <c r="D20" s="774"/>
      <c r="E20" s="774"/>
      <c r="F20" s="774"/>
      <c r="G20" s="774"/>
      <c r="H20" s="774"/>
      <c r="I20" s="774"/>
      <c r="J20" s="774"/>
      <c r="K20" s="774"/>
      <c r="L20" s="774"/>
      <c r="M20" s="774"/>
      <c r="N20" s="774"/>
      <c r="O20" s="774"/>
      <c r="P20" s="774"/>
      <c r="Q20" s="774"/>
      <c r="R20" s="774"/>
      <c r="S20" s="774"/>
      <c r="T20" s="774"/>
      <c r="U20" s="774"/>
      <c r="V20" s="774"/>
      <c r="W20" s="774"/>
      <c r="X20" s="774"/>
      <c r="Y20" s="774"/>
      <c r="Z20" s="774"/>
    </row>
    <row r="21" spans="1:71" s="24" customFormat="1">
      <c r="B21" s="777" t="s">
        <v>0</v>
      </c>
      <c r="C21" s="778"/>
      <c r="D21" s="775">
        <v>41640</v>
      </c>
      <c r="E21" s="776"/>
      <c r="F21" s="776"/>
      <c r="G21" s="776"/>
      <c r="H21" s="775">
        <v>41671</v>
      </c>
      <c r="I21" s="776"/>
      <c r="J21" s="776"/>
      <c r="K21" s="776"/>
      <c r="L21" s="781">
        <v>41699</v>
      </c>
      <c r="M21" s="782"/>
      <c r="N21" s="782"/>
      <c r="O21" s="783"/>
      <c r="P21" s="781">
        <v>41730</v>
      </c>
      <c r="Q21" s="782"/>
      <c r="R21" s="782"/>
      <c r="S21" s="783"/>
      <c r="T21" s="781">
        <v>41760</v>
      </c>
      <c r="U21" s="782"/>
      <c r="V21" s="782"/>
      <c r="W21" s="783"/>
      <c r="X21" s="781">
        <v>41791</v>
      </c>
      <c r="Y21" s="782"/>
      <c r="Z21" s="782"/>
      <c r="AA21" s="783"/>
      <c r="AB21" s="787" t="s">
        <v>1</v>
      </c>
      <c r="AC21" s="787"/>
      <c r="AD21" s="787"/>
      <c r="AE21" s="787"/>
      <c r="BM21" s="25"/>
      <c r="BN21" s="25"/>
      <c r="BO21" s="25"/>
      <c r="BP21" s="25"/>
      <c r="BQ21" s="25"/>
      <c r="BR21" s="25"/>
      <c r="BS21" s="25"/>
    </row>
    <row r="22" spans="1:71">
      <c r="B22" s="779"/>
      <c r="C22" s="780"/>
      <c r="D22" s="9" t="s">
        <v>2</v>
      </c>
      <c r="E22" s="9" t="s">
        <v>3</v>
      </c>
      <c r="F22" s="9" t="s">
        <v>4</v>
      </c>
      <c r="G22" s="9" t="s">
        <v>5</v>
      </c>
      <c r="H22" s="9" t="s">
        <v>2</v>
      </c>
      <c r="I22" s="9" t="s">
        <v>3</v>
      </c>
      <c r="J22" s="9" t="s">
        <v>4</v>
      </c>
      <c r="K22" s="9" t="s">
        <v>5</v>
      </c>
      <c r="L22" s="1" t="s">
        <v>2</v>
      </c>
      <c r="M22" s="1" t="s">
        <v>3</v>
      </c>
      <c r="N22" s="1" t="s">
        <v>4</v>
      </c>
      <c r="O22" s="1" t="s">
        <v>5</v>
      </c>
      <c r="P22" s="2" t="s">
        <v>2</v>
      </c>
      <c r="Q22" s="2" t="s">
        <v>3</v>
      </c>
      <c r="R22" s="2" t="s">
        <v>4</v>
      </c>
      <c r="S22" s="2" t="s">
        <v>5</v>
      </c>
      <c r="T22" s="1" t="s">
        <v>2</v>
      </c>
      <c r="U22" s="1" t="s">
        <v>3</v>
      </c>
      <c r="V22" s="1" t="s">
        <v>4</v>
      </c>
      <c r="W22" s="1" t="s">
        <v>5</v>
      </c>
      <c r="X22" s="2" t="s">
        <v>2</v>
      </c>
      <c r="Y22" s="2" t="s">
        <v>3</v>
      </c>
      <c r="Z22" s="2" t="s">
        <v>4</v>
      </c>
      <c r="AA22" s="2" t="s">
        <v>5</v>
      </c>
      <c r="AB22" s="1" t="s">
        <v>2</v>
      </c>
      <c r="AC22" s="1" t="s">
        <v>3</v>
      </c>
      <c r="AD22" s="1" t="s">
        <v>4</v>
      </c>
      <c r="AE22" s="1" t="s">
        <v>5</v>
      </c>
      <c r="BM22" s="20"/>
      <c r="BN22" s="20"/>
      <c r="BO22" s="20"/>
      <c r="BP22" s="20"/>
      <c r="BQ22" s="20"/>
      <c r="BR22" s="20"/>
      <c r="BS22" s="20"/>
    </row>
    <row r="23" spans="1:71" ht="25.5" customHeight="1">
      <c r="B23" s="3" t="s">
        <v>6</v>
      </c>
      <c r="C23" s="4" t="s">
        <v>7</v>
      </c>
      <c r="D23" s="5">
        <v>1515.75902044854</v>
      </c>
      <c r="E23" s="5">
        <v>1790.22902044854</v>
      </c>
      <c r="F23" s="5">
        <v>1934.3490204485402</v>
      </c>
      <c r="G23" s="5">
        <v>2057.71902044854</v>
      </c>
      <c r="H23" s="5">
        <v>1343.7937581918527</v>
      </c>
      <c r="I23" s="5">
        <v>1618.2637581918525</v>
      </c>
      <c r="J23" s="5">
        <v>1762.3837581918526</v>
      </c>
      <c r="K23" s="5">
        <v>1885.7537581918527</v>
      </c>
      <c r="L23" s="5">
        <v>1271.0082203933448</v>
      </c>
      <c r="M23" s="5">
        <v>1545.4782203933446</v>
      </c>
      <c r="N23" s="5">
        <v>1689.5982203933447</v>
      </c>
      <c r="O23" s="5">
        <v>1812.9682203933448</v>
      </c>
      <c r="P23" s="5">
        <v>1404.2550680226036</v>
      </c>
      <c r="Q23" s="5">
        <v>1678.7250680226039</v>
      </c>
      <c r="R23" s="5">
        <v>1822.8450680226038</v>
      </c>
      <c r="S23" s="5">
        <v>1946.2150680226036</v>
      </c>
      <c r="T23" s="5">
        <v>1125.9526772691333</v>
      </c>
      <c r="U23" s="5">
        <v>1400.4226772691331</v>
      </c>
      <c r="V23" s="5">
        <v>1544.5426772691333</v>
      </c>
      <c r="W23" s="5">
        <v>1667.9126772691332</v>
      </c>
      <c r="X23" s="5">
        <v>1016.6175027366686</v>
      </c>
      <c r="Y23" s="5">
        <v>1291.0875027366685</v>
      </c>
      <c r="Z23" s="5">
        <v>1435.2075027366686</v>
      </c>
      <c r="AA23" s="5">
        <v>1558.5775027366685</v>
      </c>
      <c r="AB23" s="21">
        <f t="shared" ref="AB23:AE26" si="12">(D23+H23+L23+P23+T23+X23)/6</f>
        <v>1279.5643745103573</v>
      </c>
      <c r="AC23" s="21">
        <f t="shared" si="12"/>
        <v>1554.0343745103571</v>
      </c>
      <c r="AD23" s="21">
        <f t="shared" si="12"/>
        <v>1698.1543745103572</v>
      </c>
      <c r="AE23" s="21">
        <f t="shared" si="12"/>
        <v>1821.5243745103571</v>
      </c>
      <c r="BM23" s="20"/>
      <c r="BN23" s="22"/>
      <c r="BO23" s="20"/>
      <c r="BP23" s="20"/>
      <c r="BQ23" s="20"/>
      <c r="BR23" s="20"/>
      <c r="BS23" s="20"/>
    </row>
    <row r="24" spans="1:71" ht="25.5">
      <c r="B24" s="3" t="s">
        <v>8</v>
      </c>
      <c r="C24" s="4" t="s">
        <v>7</v>
      </c>
      <c r="D24" s="5">
        <v>1509.4487488719706</v>
      </c>
      <c r="E24" s="5">
        <v>1783.9187488719706</v>
      </c>
      <c r="F24" s="5">
        <v>1928.0387488719705</v>
      </c>
      <c r="G24" s="5">
        <v>2051.4087488719706</v>
      </c>
      <c r="H24" s="5">
        <v>1338.3760210865048</v>
      </c>
      <c r="I24" s="5">
        <v>1612.8460210865046</v>
      </c>
      <c r="J24" s="5">
        <v>1756.9660210865047</v>
      </c>
      <c r="K24" s="5">
        <v>1880.3360210865048</v>
      </c>
      <c r="L24" s="5">
        <v>1265.967750125523</v>
      </c>
      <c r="M24" s="5">
        <v>1540.4377501255228</v>
      </c>
      <c r="N24" s="5">
        <v>1684.5577501255229</v>
      </c>
      <c r="O24" s="5">
        <v>1807.9277501255231</v>
      </c>
      <c r="P24" s="5">
        <v>1398.5219416179889</v>
      </c>
      <c r="Q24" s="5">
        <v>1672.9919416179889</v>
      </c>
      <c r="R24" s="5">
        <v>1817.1119416179888</v>
      </c>
      <c r="S24" s="5">
        <v>1940.4819416179887</v>
      </c>
      <c r="T24" s="5">
        <v>1121.6646580254985</v>
      </c>
      <c r="U24" s="5">
        <v>1396.1346580254985</v>
      </c>
      <c r="V24" s="5">
        <v>1540.2546580254987</v>
      </c>
      <c r="W24" s="5">
        <v>1663.6246580254985</v>
      </c>
      <c r="X24" s="5">
        <v>1012.8975027366687</v>
      </c>
      <c r="Y24" s="5">
        <v>1287.3675027366687</v>
      </c>
      <c r="Z24" s="5">
        <v>1431.4875027366688</v>
      </c>
      <c r="AA24" s="5">
        <v>1554.8575027366687</v>
      </c>
      <c r="AB24" s="21">
        <f t="shared" si="12"/>
        <v>1274.4794370773591</v>
      </c>
      <c r="AC24" s="21">
        <f t="shared" si="12"/>
        <v>1548.9494370773591</v>
      </c>
      <c r="AD24" s="21">
        <f t="shared" si="12"/>
        <v>1693.0694370773592</v>
      </c>
      <c r="AE24" s="21">
        <f t="shared" si="12"/>
        <v>1816.4394370773589</v>
      </c>
      <c r="BM24" s="20"/>
      <c r="BN24" s="20"/>
      <c r="BO24" s="20"/>
      <c r="BP24" s="20"/>
      <c r="BQ24" s="20"/>
      <c r="BR24" s="20"/>
      <c r="BS24" s="20"/>
    </row>
    <row r="25" spans="1:71" ht="25.5">
      <c r="B25" s="3" t="s">
        <v>9</v>
      </c>
      <c r="C25" s="4" t="s">
        <v>7</v>
      </c>
      <c r="D25" s="5">
        <v>1472.6941846014251</v>
      </c>
      <c r="E25" s="5">
        <v>1747.1641846014249</v>
      </c>
      <c r="F25" s="5">
        <v>1891.2841846014251</v>
      </c>
      <c r="G25" s="5">
        <v>2014.6541846014252</v>
      </c>
      <c r="H25" s="5">
        <v>1306.820078648338</v>
      </c>
      <c r="I25" s="5">
        <v>1581.2900786483381</v>
      </c>
      <c r="J25" s="5">
        <v>1725.4100786483382</v>
      </c>
      <c r="K25" s="5">
        <v>1848.7800786483383</v>
      </c>
      <c r="L25" s="5">
        <v>1236.6092215480346</v>
      </c>
      <c r="M25" s="5">
        <v>1511.0792215480346</v>
      </c>
      <c r="N25" s="5">
        <v>1655.1992215480348</v>
      </c>
      <c r="O25" s="5">
        <v>1778.5692215480349</v>
      </c>
      <c r="P25" s="5">
        <v>1365.1289948402314</v>
      </c>
      <c r="Q25" s="5">
        <v>1639.5989948402319</v>
      </c>
      <c r="R25" s="5">
        <v>1783.7189948402317</v>
      </c>
      <c r="S25" s="5">
        <v>1907.0889948402316</v>
      </c>
      <c r="T25" s="5">
        <v>1096.6888266415206</v>
      </c>
      <c r="U25" s="5">
        <v>1371.1588266415206</v>
      </c>
      <c r="V25" s="5">
        <v>1515.2788266415207</v>
      </c>
      <c r="W25" s="5">
        <v>1638.6488266415206</v>
      </c>
      <c r="X25" s="5">
        <v>991.25750273666858</v>
      </c>
      <c r="Y25" s="5">
        <v>1265.7275027366686</v>
      </c>
      <c r="Z25" s="5">
        <v>1409.8475027366687</v>
      </c>
      <c r="AA25" s="5">
        <v>1533.2175027366686</v>
      </c>
      <c r="AB25" s="21">
        <f t="shared" si="12"/>
        <v>1244.8664681693697</v>
      </c>
      <c r="AC25" s="21">
        <f t="shared" si="12"/>
        <v>1519.3364681693699</v>
      </c>
      <c r="AD25" s="21">
        <f t="shared" si="12"/>
        <v>1663.4564681693701</v>
      </c>
      <c r="AE25" s="21">
        <f t="shared" si="12"/>
        <v>1786.8264681693699</v>
      </c>
    </row>
    <row r="26" spans="1:71" ht="25.5">
      <c r="B26" s="3" t="s">
        <v>10</v>
      </c>
      <c r="C26" s="4" t="s">
        <v>7</v>
      </c>
      <c r="D26" s="5">
        <v>1442.9141310207724</v>
      </c>
      <c r="E26" s="5">
        <v>1717.3841310207722</v>
      </c>
      <c r="F26" s="5">
        <v>1861.5041310207723</v>
      </c>
      <c r="G26" s="5">
        <v>1984.8741310207724</v>
      </c>
      <c r="H26" s="5">
        <v>1281.2521614318719</v>
      </c>
      <c r="I26" s="5">
        <v>1555.7221614318717</v>
      </c>
      <c r="J26" s="5">
        <v>1699.8421614318718</v>
      </c>
      <c r="K26" s="5">
        <v>1823.2121614318719</v>
      </c>
      <c r="L26" s="5">
        <v>1212.8217390560337</v>
      </c>
      <c r="M26" s="5">
        <v>1487.2917390560335</v>
      </c>
      <c r="N26" s="5">
        <v>1631.4117390560336</v>
      </c>
      <c r="O26" s="5">
        <v>1754.7817390560338</v>
      </c>
      <c r="P26" s="5">
        <v>1338.0726614570488</v>
      </c>
      <c r="Q26" s="5">
        <v>1612.542661457049</v>
      </c>
      <c r="R26" s="5">
        <v>1756.6626614570489</v>
      </c>
      <c r="S26" s="5">
        <v>1880.0326614570488</v>
      </c>
      <c r="T26" s="5">
        <v>1076.4523849478758</v>
      </c>
      <c r="U26" s="5">
        <v>1350.9223849478758</v>
      </c>
      <c r="V26" s="5">
        <v>1495.0423849478759</v>
      </c>
      <c r="W26" s="5">
        <v>1618.4123849478758</v>
      </c>
      <c r="X26" s="5">
        <v>973.72750273666861</v>
      </c>
      <c r="Y26" s="5">
        <v>1248.1975027366686</v>
      </c>
      <c r="Z26" s="5">
        <v>1392.3175027366688</v>
      </c>
      <c r="AA26" s="5">
        <v>1515.6875027366686</v>
      </c>
      <c r="AB26" s="21">
        <f t="shared" si="12"/>
        <v>1220.8734301083784</v>
      </c>
      <c r="AC26" s="21">
        <f t="shared" si="12"/>
        <v>1495.3434301083782</v>
      </c>
      <c r="AD26" s="21">
        <f t="shared" si="12"/>
        <v>1639.4634301083786</v>
      </c>
      <c r="AE26" s="21">
        <f t="shared" si="12"/>
        <v>1762.8334301083785</v>
      </c>
    </row>
    <row r="28" spans="1:71">
      <c r="B28" s="23" t="s">
        <v>23</v>
      </c>
    </row>
    <row r="29" spans="1:71" ht="15" customHeight="1">
      <c r="B29" s="777" t="s">
        <v>0</v>
      </c>
      <c r="C29" s="778"/>
      <c r="D29" s="775">
        <v>41821</v>
      </c>
      <c r="E29" s="776"/>
      <c r="F29" s="776"/>
      <c r="G29" s="776"/>
      <c r="H29" s="775">
        <v>41852</v>
      </c>
      <c r="I29" s="776"/>
      <c r="J29" s="776"/>
      <c r="K29" s="776"/>
      <c r="L29" s="775">
        <v>41883</v>
      </c>
      <c r="M29" s="776"/>
      <c r="N29" s="776"/>
      <c r="O29" s="776"/>
      <c r="P29" s="775">
        <v>41913</v>
      </c>
      <c r="Q29" s="776"/>
      <c r="R29" s="776"/>
      <c r="S29" s="776"/>
      <c r="T29" s="775">
        <v>41944</v>
      </c>
      <c r="U29" s="776"/>
      <c r="V29" s="776"/>
      <c r="W29" s="776"/>
      <c r="X29" s="775">
        <v>41974</v>
      </c>
      <c r="Y29" s="776"/>
      <c r="Z29" s="776"/>
      <c r="AA29" s="776"/>
      <c r="AB29" s="786" t="s">
        <v>24</v>
      </c>
      <c r="AC29" s="786"/>
      <c r="AD29" s="786"/>
      <c r="AE29" s="786"/>
    </row>
    <row r="30" spans="1:71">
      <c r="B30" s="779"/>
      <c r="C30" s="780"/>
      <c r="D30" s="8" t="s">
        <v>2</v>
      </c>
      <c r="E30" s="8" t="s">
        <v>3</v>
      </c>
      <c r="F30" s="8" t="s">
        <v>4</v>
      </c>
      <c r="G30" s="8" t="s">
        <v>5</v>
      </c>
      <c r="H30" s="8" t="s">
        <v>2</v>
      </c>
      <c r="I30" s="8" t="s">
        <v>3</v>
      </c>
      <c r="J30" s="8" t="s">
        <v>4</v>
      </c>
      <c r="K30" s="8" t="s">
        <v>5</v>
      </c>
      <c r="L30" s="1" t="s">
        <v>2</v>
      </c>
      <c r="M30" s="1" t="s">
        <v>3</v>
      </c>
      <c r="N30" s="1" t="s">
        <v>4</v>
      </c>
      <c r="O30" s="1" t="s">
        <v>5</v>
      </c>
      <c r="P30" s="2" t="s">
        <v>2</v>
      </c>
      <c r="Q30" s="2" t="s">
        <v>3</v>
      </c>
      <c r="R30" s="2" t="s">
        <v>4</v>
      </c>
      <c r="S30" s="2" t="s">
        <v>5</v>
      </c>
      <c r="T30" s="1" t="s">
        <v>2</v>
      </c>
      <c r="U30" s="1" t="s">
        <v>3</v>
      </c>
      <c r="V30" s="1" t="s">
        <v>4</v>
      </c>
      <c r="W30" s="1" t="s">
        <v>5</v>
      </c>
      <c r="X30" s="2" t="s">
        <v>2</v>
      </c>
      <c r="Y30" s="2" t="s">
        <v>3</v>
      </c>
      <c r="Z30" s="2" t="s">
        <v>4</v>
      </c>
      <c r="AA30" s="2" t="s">
        <v>5</v>
      </c>
      <c r="AB30" s="2" t="s">
        <v>2</v>
      </c>
      <c r="AC30" s="2" t="s">
        <v>3</v>
      </c>
      <c r="AD30" s="2" t="s">
        <v>4</v>
      </c>
      <c r="AE30" s="2" t="s">
        <v>5</v>
      </c>
    </row>
    <row r="31" spans="1:71" ht="24.75" customHeight="1">
      <c r="B31" s="3" t="s">
        <v>6</v>
      </c>
      <c r="C31" s="27" t="s">
        <v>7</v>
      </c>
      <c r="D31" s="5">
        <v>1034.47901484048</v>
      </c>
      <c r="E31" s="5">
        <v>1308.94901484048</v>
      </c>
      <c r="F31" s="5">
        <v>1453.0690148404801</v>
      </c>
      <c r="G31" s="5">
        <v>1576.4390148404802</v>
      </c>
      <c r="H31" s="5">
        <v>1321.3096558825096</v>
      </c>
      <c r="I31" s="5">
        <v>1595.7796558825098</v>
      </c>
      <c r="J31" s="5">
        <v>1739.8996558825097</v>
      </c>
      <c r="K31" s="5">
        <v>1863.2696558825096</v>
      </c>
      <c r="L31" s="5">
        <v>1567.1200000000001</v>
      </c>
      <c r="M31" s="5">
        <v>1841.5900000000001</v>
      </c>
      <c r="N31" s="5">
        <v>1985.71</v>
      </c>
      <c r="O31" s="5">
        <v>2109.08</v>
      </c>
      <c r="P31" s="5">
        <v>1693.13</v>
      </c>
      <c r="Q31" s="5">
        <v>1967.6</v>
      </c>
      <c r="R31" s="5">
        <v>2111.7200000000003</v>
      </c>
      <c r="S31" s="5">
        <v>2235.09</v>
      </c>
      <c r="T31" s="5">
        <v>2021.3435999999999</v>
      </c>
      <c r="U31" s="5">
        <v>2295.8136</v>
      </c>
      <c r="V31" s="5">
        <v>2439.9335999999998</v>
      </c>
      <c r="W31" s="5">
        <v>2563.3036000000002</v>
      </c>
      <c r="X31" s="5">
        <v>2109.5299999999997</v>
      </c>
      <c r="Y31" s="5">
        <v>2384</v>
      </c>
      <c r="Z31" s="5">
        <v>2528.12</v>
      </c>
      <c r="AA31" s="5">
        <v>2651.49</v>
      </c>
      <c r="AB31" s="26">
        <f>(D31+H31+L31+P31+T31+X31)/6</f>
        <v>1624.4853784538318</v>
      </c>
      <c r="AC31" s="26">
        <f t="shared" ref="AC31:AE34" si="13">(E31+I31+M31+Q31+U31+Y31)/6</f>
        <v>1898.9553784538314</v>
      </c>
      <c r="AD31" s="26">
        <f t="shared" si="13"/>
        <v>2043.0753784538313</v>
      </c>
      <c r="AE31" s="21">
        <f t="shared" si="13"/>
        <v>2166.4453784538318</v>
      </c>
    </row>
    <row r="32" spans="1:71" ht="25.5">
      <c r="B32" s="3" t="s">
        <v>8</v>
      </c>
      <c r="C32" s="27" t="s">
        <v>7</v>
      </c>
      <c r="D32" s="5">
        <v>1027.39901484048</v>
      </c>
      <c r="E32" s="5">
        <v>1301.8690148404801</v>
      </c>
      <c r="F32" s="5">
        <v>1445.9890148404802</v>
      </c>
      <c r="G32" s="5">
        <v>1569.3590148404803</v>
      </c>
      <c r="H32" s="5">
        <v>1311.4596558825097</v>
      </c>
      <c r="I32" s="5">
        <v>1585.9296558825099</v>
      </c>
      <c r="J32" s="5">
        <v>1730.0496558825098</v>
      </c>
      <c r="K32" s="5">
        <v>1853.4196558825097</v>
      </c>
      <c r="L32" s="5">
        <v>1554.89</v>
      </c>
      <c r="M32" s="5">
        <v>1829.3600000000001</v>
      </c>
      <c r="N32" s="5">
        <v>1973.48</v>
      </c>
      <c r="O32" s="5">
        <v>2096.85</v>
      </c>
      <c r="P32" s="5">
        <v>1679.64</v>
      </c>
      <c r="Q32" s="5">
        <v>1954.11</v>
      </c>
      <c r="R32" s="5">
        <v>2098.23</v>
      </c>
      <c r="S32" s="5">
        <v>2221.6000000000004</v>
      </c>
      <c r="T32" s="5">
        <v>2004.6810599999999</v>
      </c>
      <c r="U32" s="5">
        <v>2279.1510600000001</v>
      </c>
      <c r="V32" s="5">
        <v>2423.27106</v>
      </c>
      <c r="W32" s="5">
        <v>2546.6410599999999</v>
      </c>
      <c r="X32" s="5">
        <v>2092.0699999999997</v>
      </c>
      <c r="Y32" s="5">
        <v>2366.54</v>
      </c>
      <c r="Z32" s="5">
        <v>2510.66</v>
      </c>
      <c r="AA32" s="5">
        <v>2634.0299999999997</v>
      </c>
      <c r="AB32" s="26">
        <f>(D32+H32+L32+P32+T32+X32)/6</f>
        <v>1611.6899551204981</v>
      </c>
      <c r="AC32" s="26">
        <f t="shared" si="13"/>
        <v>1886.1599551204988</v>
      </c>
      <c r="AD32" s="26">
        <f t="shared" si="13"/>
        <v>2030.2799551204982</v>
      </c>
      <c r="AE32" s="21">
        <f t="shared" si="13"/>
        <v>2153.6499551204984</v>
      </c>
    </row>
    <row r="33" spans="1:31" ht="25.5">
      <c r="B33" s="3" t="s">
        <v>9</v>
      </c>
      <c r="C33" s="27" t="s">
        <v>7</v>
      </c>
      <c r="D33" s="5">
        <v>985.19901484048012</v>
      </c>
      <c r="E33" s="5">
        <v>1259.66901484048</v>
      </c>
      <c r="F33" s="5">
        <v>1403.7890148404801</v>
      </c>
      <c r="G33" s="5">
        <v>1527.1590148404803</v>
      </c>
      <c r="H33" s="5">
        <v>1252.7096558825097</v>
      </c>
      <c r="I33" s="5">
        <v>1527.1796558825099</v>
      </c>
      <c r="J33" s="5">
        <v>1671.2996558825098</v>
      </c>
      <c r="K33" s="5">
        <v>1794.6696558825097</v>
      </c>
      <c r="L33" s="5">
        <v>1481.98</v>
      </c>
      <c r="M33" s="5">
        <v>1756.45</v>
      </c>
      <c r="N33" s="5">
        <v>1900.57</v>
      </c>
      <c r="O33" s="5">
        <v>2023.9399999999998</v>
      </c>
      <c r="P33" s="5">
        <v>1599.46</v>
      </c>
      <c r="Q33" s="5">
        <v>1873.93</v>
      </c>
      <c r="R33" s="5">
        <v>2018.0500000000002</v>
      </c>
      <c r="S33" s="5">
        <v>2141.42</v>
      </c>
      <c r="T33" s="5">
        <v>1905.6291100000001</v>
      </c>
      <c r="U33" s="5">
        <v>2180.0991100000001</v>
      </c>
      <c r="V33" s="5">
        <v>2324.21911</v>
      </c>
      <c r="W33" s="5">
        <v>2447.5891099999999</v>
      </c>
      <c r="X33" s="5">
        <v>1987.9</v>
      </c>
      <c r="Y33" s="5">
        <v>2262.37</v>
      </c>
      <c r="Z33" s="5">
        <v>2406.4899999999998</v>
      </c>
      <c r="AA33" s="5">
        <v>2529.8599999999997</v>
      </c>
      <c r="AB33" s="26">
        <f>(D33+H33+L33+P33+T33+X33)/6</f>
        <v>1535.4796301204981</v>
      </c>
      <c r="AC33" s="26">
        <f t="shared" si="13"/>
        <v>1809.9496301204981</v>
      </c>
      <c r="AD33" s="26">
        <f t="shared" si="13"/>
        <v>1954.0696301204982</v>
      </c>
      <c r="AE33" s="21">
        <f t="shared" si="13"/>
        <v>2077.4396301204984</v>
      </c>
    </row>
    <row r="34" spans="1:31" ht="25.5">
      <c r="B34" s="3" t="s">
        <v>10</v>
      </c>
      <c r="C34" s="27" t="s">
        <v>7</v>
      </c>
      <c r="D34" s="5">
        <v>951.16901484048014</v>
      </c>
      <c r="E34" s="5">
        <v>1225.6390148404801</v>
      </c>
      <c r="F34" s="5">
        <v>1369.7590148404802</v>
      </c>
      <c r="G34" s="5">
        <v>1493.1290148404803</v>
      </c>
      <c r="H34" s="5">
        <v>1205.3396558825095</v>
      </c>
      <c r="I34" s="5">
        <v>1479.8096558825098</v>
      </c>
      <c r="J34" s="5">
        <v>1623.9296558825097</v>
      </c>
      <c r="K34" s="5">
        <v>1747.2996558825096</v>
      </c>
      <c r="L34" s="5">
        <v>1423.1799999999998</v>
      </c>
      <c r="M34" s="5">
        <v>1697.65</v>
      </c>
      <c r="N34" s="5">
        <v>1841.77</v>
      </c>
      <c r="O34" s="5">
        <v>1965.1399999999999</v>
      </c>
      <c r="P34" s="5">
        <v>1534.7600000000002</v>
      </c>
      <c r="Q34" s="5">
        <v>1809.23</v>
      </c>
      <c r="R34" s="5">
        <v>1953.3500000000001</v>
      </c>
      <c r="S34" s="5">
        <v>2076.7200000000003</v>
      </c>
      <c r="T34" s="5">
        <v>1825.6875500000001</v>
      </c>
      <c r="U34" s="5">
        <v>2100.1575499999999</v>
      </c>
      <c r="V34" s="5">
        <v>2244.2775499999998</v>
      </c>
      <c r="W34" s="5">
        <v>2367.6475500000001</v>
      </c>
      <c r="X34" s="5">
        <v>1903.8999999999999</v>
      </c>
      <c r="Y34" s="5">
        <v>2178.37</v>
      </c>
      <c r="Z34" s="5">
        <v>2322.4899999999998</v>
      </c>
      <c r="AA34" s="5">
        <v>2445.8599999999997</v>
      </c>
      <c r="AB34" s="26">
        <f>(D34+H34+L34+P34+T34+X34)/6</f>
        <v>1474.0060367871649</v>
      </c>
      <c r="AC34" s="26">
        <f t="shared" si="13"/>
        <v>1748.4760367871647</v>
      </c>
      <c r="AD34" s="26">
        <f t="shared" si="13"/>
        <v>1892.5960367871651</v>
      </c>
      <c r="AE34" s="21">
        <f t="shared" si="13"/>
        <v>2015.966036787165</v>
      </c>
    </row>
    <row r="35" spans="1:31" hidden="1">
      <c r="D35" s="29"/>
      <c r="E35" s="29"/>
      <c r="F35" s="29"/>
      <c r="G35" s="29"/>
      <c r="H35" s="29"/>
      <c r="I35" s="29"/>
      <c r="J35" s="29"/>
      <c r="K35" s="29"/>
      <c r="L35" s="737"/>
      <c r="M35" s="737"/>
      <c r="N35" s="737"/>
      <c r="O35" s="737"/>
      <c r="P35" s="29"/>
      <c r="Q35" s="29"/>
      <c r="R35" s="29"/>
      <c r="S35" s="29"/>
      <c r="T35" s="29"/>
      <c r="U35" s="29"/>
      <c r="V35" s="29"/>
      <c r="W35" s="29"/>
    </row>
    <row r="36" spans="1:31">
      <c r="L36" s="738"/>
      <c r="M36" s="738"/>
      <c r="N36" s="738"/>
      <c r="O36" s="738"/>
    </row>
    <row r="37" spans="1:31" s="7" customFormat="1" ht="15.75">
      <c r="A37" s="7" t="s">
        <v>30</v>
      </c>
      <c r="B37" s="7" t="s">
        <v>30</v>
      </c>
    </row>
    <row r="40" spans="1:31">
      <c r="C40" s="653"/>
      <c r="D40" s="653"/>
      <c r="E40" s="653"/>
      <c r="F40" s="653"/>
      <c r="G40" s="653"/>
      <c r="H40" s="653"/>
      <c r="I40" s="653"/>
      <c r="J40" s="653"/>
      <c r="K40" s="653"/>
      <c r="L40" s="653"/>
      <c r="M40" s="653"/>
      <c r="N40" s="653"/>
      <c r="O40" s="653"/>
      <c r="P40" s="653"/>
      <c r="Q40" s="653"/>
      <c r="R40" s="653"/>
      <c r="S40" s="653"/>
      <c r="T40" s="653"/>
      <c r="U40" s="653"/>
      <c r="V40" s="653"/>
      <c r="W40" s="653"/>
      <c r="X40" s="653"/>
      <c r="Y40" s="653"/>
      <c r="Z40" s="653"/>
      <c r="AA40" s="653"/>
    </row>
    <row r="41" spans="1:31">
      <c r="C41" s="653"/>
      <c r="D41" s="653"/>
      <c r="E41" s="653"/>
      <c r="F41" s="653"/>
      <c r="G41" s="653"/>
      <c r="H41" s="653"/>
      <c r="I41" s="653"/>
      <c r="J41" s="653"/>
      <c r="K41" s="653"/>
      <c r="L41" s="653"/>
      <c r="M41" s="653"/>
      <c r="N41" s="653"/>
      <c r="O41" s="653"/>
      <c r="P41" s="653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</row>
    <row r="42" spans="1:31">
      <c r="C42" s="653"/>
      <c r="D42" s="653"/>
      <c r="E42" s="65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</row>
    <row r="43" spans="1:31">
      <c r="C43" s="65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653"/>
      <c r="P43" s="653"/>
      <c r="Q43" s="653"/>
      <c r="R43" s="653"/>
      <c r="S43" s="653"/>
      <c r="T43" s="653"/>
      <c r="U43" s="653"/>
      <c r="V43" s="653"/>
      <c r="W43" s="653"/>
      <c r="X43" s="653"/>
      <c r="Y43" s="653"/>
      <c r="Z43" s="653"/>
      <c r="AA43" s="653"/>
    </row>
    <row r="44" spans="1:31">
      <c r="C44" s="653"/>
      <c r="D44" s="653"/>
      <c r="E44" s="653"/>
      <c r="F44" s="653"/>
      <c r="G44" s="653"/>
      <c r="H44" s="653"/>
      <c r="I44" s="653"/>
      <c r="J44" s="653"/>
      <c r="K44" s="653"/>
      <c r="L44" s="653"/>
      <c r="M44" s="653"/>
      <c r="N44" s="653"/>
      <c r="O44" s="653"/>
      <c r="P44" s="653"/>
      <c r="Q44" s="653"/>
      <c r="R44" s="653"/>
      <c r="S44" s="653"/>
      <c r="T44" s="653"/>
      <c r="U44" s="653"/>
      <c r="V44" s="653"/>
      <c r="W44" s="653"/>
      <c r="X44" s="653"/>
      <c r="Y44" s="653"/>
      <c r="Z44" s="653"/>
      <c r="AA44" s="653"/>
    </row>
    <row r="45" spans="1:31">
      <c r="C45" s="653"/>
      <c r="D45" s="653"/>
      <c r="E45" s="653"/>
      <c r="F45" s="653"/>
      <c r="G45" s="653"/>
      <c r="H45" s="653"/>
      <c r="I45" s="653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</row>
    <row r="46" spans="1:31"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</row>
    <row r="47" spans="1:31">
      <c r="C47" s="653"/>
      <c r="D47" s="653"/>
      <c r="E47" s="653"/>
      <c r="F47" s="653"/>
      <c r="G47" s="653"/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</row>
    <row r="48" spans="1:31">
      <c r="C48" s="653"/>
      <c r="D48" s="653"/>
      <c r="E48" s="653"/>
      <c r="F48" s="653"/>
      <c r="G48" s="653"/>
      <c r="H48" s="653"/>
      <c r="I48" s="653"/>
      <c r="J48" s="653"/>
      <c r="K48" s="653"/>
      <c r="L48" s="653"/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</row>
    <row r="49" spans="3:27">
      <c r="C49" s="653"/>
      <c r="D49" s="653"/>
      <c r="E49" s="653"/>
      <c r="F49" s="653"/>
      <c r="G49" s="653"/>
      <c r="H49" s="653"/>
      <c r="I49" s="653"/>
      <c r="J49" s="653"/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</row>
    <row r="50" spans="3:27">
      <c r="C50" s="653"/>
      <c r="D50" s="653"/>
      <c r="E50" s="653"/>
      <c r="F50" s="653"/>
      <c r="G50" s="653"/>
      <c r="H50" s="653"/>
      <c r="I50" s="653"/>
      <c r="J50" s="653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</row>
    <row r="51" spans="3:27"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/>
      <c r="AA51" s="653"/>
    </row>
    <row r="52" spans="3:27">
      <c r="C52" s="653"/>
      <c r="D52" s="653"/>
      <c r="E52" s="653"/>
      <c r="F52" s="653"/>
      <c r="G52" s="653"/>
      <c r="H52" s="653"/>
      <c r="I52" s="653"/>
      <c r="J52" s="653"/>
      <c r="K52" s="653"/>
      <c r="L52" s="653"/>
      <c r="M52" s="653"/>
      <c r="N52" s="653"/>
      <c r="O52" s="653"/>
      <c r="P52" s="653"/>
      <c r="Q52" s="653"/>
      <c r="R52" s="653"/>
      <c r="S52" s="653"/>
      <c r="T52" s="653"/>
      <c r="U52" s="653"/>
      <c r="V52" s="653"/>
      <c r="W52" s="653"/>
      <c r="X52" s="653"/>
      <c r="Y52" s="653"/>
      <c r="Z52" s="653"/>
      <c r="AA52" s="653"/>
    </row>
    <row r="53" spans="3:27"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  <c r="Q53" s="653"/>
      <c r="R53" s="653"/>
      <c r="S53" s="653"/>
      <c r="T53" s="653"/>
      <c r="U53" s="653"/>
      <c r="V53" s="653"/>
      <c r="W53" s="653"/>
      <c r="X53" s="653"/>
      <c r="Y53" s="653"/>
      <c r="Z53" s="653"/>
      <c r="AA53" s="653"/>
    </row>
    <row r="54" spans="3:27">
      <c r="C54" s="653"/>
      <c r="D54" s="653"/>
      <c r="E54" s="653"/>
      <c r="F54" s="653"/>
      <c r="G54" s="653"/>
      <c r="H54" s="653"/>
      <c r="I54" s="653"/>
      <c r="J54" s="653"/>
      <c r="K54" s="653"/>
      <c r="L54" s="653"/>
      <c r="M54" s="653"/>
      <c r="N54" s="653"/>
      <c r="O54" s="653"/>
      <c r="P54" s="653"/>
      <c r="Q54" s="653"/>
      <c r="R54" s="653"/>
      <c r="S54" s="653"/>
      <c r="T54" s="653"/>
      <c r="U54" s="653"/>
      <c r="V54" s="653"/>
      <c r="W54" s="653"/>
      <c r="X54" s="653"/>
      <c r="Y54" s="653"/>
      <c r="Z54" s="653"/>
      <c r="AA54" s="653"/>
    </row>
    <row r="55" spans="3:27">
      <c r="C55" s="653"/>
      <c r="D55" s="653"/>
      <c r="E55" s="653"/>
      <c r="F55" s="653"/>
      <c r="G55" s="653"/>
      <c r="H55" s="653"/>
      <c r="I55" s="653"/>
      <c r="J55" s="653"/>
      <c r="K55" s="653"/>
      <c r="L55" s="653"/>
      <c r="M55" s="653"/>
      <c r="N55" s="653"/>
      <c r="O55" s="653"/>
      <c r="P55" s="653"/>
      <c r="Q55" s="653"/>
      <c r="R55" s="653"/>
      <c r="S55" s="653"/>
      <c r="T55" s="653"/>
      <c r="U55" s="653"/>
      <c r="V55" s="653"/>
      <c r="W55" s="653"/>
      <c r="X55" s="653"/>
      <c r="Y55" s="653"/>
      <c r="Z55" s="653"/>
      <c r="AA55" s="653"/>
    </row>
    <row r="56" spans="3:27">
      <c r="C56" s="653"/>
      <c r="D56" s="653"/>
      <c r="E56" s="653"/>
      <c r="F56" s="653"/>
      <c r="G56" s="653"/>
      <c r="H56" s="653"/>
      <c r="I56" s="653"/>
      <c r="J56" s="653"/>
      <c r="K56" s="653"/>
      <c r="L56" s="653"/>
      <c r="M56" s="653"/>
      <c r="N56" s="653"/>
      <c r="O56" s="653"/>
      <c r="P56" s="653"/>
      <c r="Q56" s="653"/>
      <c r="R56" s="653"/>
      <c r="S56" s="653"/>
      <c r="T56" s="653"/>
      <c r="U56" s="653"/>
      <c r="V56" s="653"/>
      <c r="W56" s="653"/>
      <c r="X56" s="653"/>
      <c r="Y56" s="653"/>
      <c r="Z56" s="653"/>
      <c r="AA56" s="653"/>
    </row>
    <row r="57" spans="3:27">
      <c r="C57" s="653"/>
      <c r="D57" s="653"/>
      <c r="E57" s="653"/>
      <c r="F57" s="653"/>
      <c r="G57" s="653"/>
      <c r="H57" s="653"/>
      <c r="I57" s="653"/>
      <c r="J57" s="653"/>
      <c r="K57" s="653"/>
      <c r="L57" s="653"/>
      <c r="M57" s="653"/>
      <c r="N57" s="653"/>
      <c r="O57" s="653"/>
      <c r="P57" s="653"/>
      <c r="Q57" s="653"/>
      <c r="R57" s="653"/>
      <c r="S57" s="653"/>
      <c r="T57" s="653"/>
      <c r="U57" s="653"/>
      <c r="V57" s="653"/>
      <c r="W57" s="653"/>
      <c r="X57" s="653"/>
      <c r="Y57" s="653"/>
      <c r="Z57" s="653"/>
      <c r="AA57" s="653"/>
    </row>
    <row r="58" spans="3:27">
      <c r="C58" s="653"/>
      <c r="D58" s="653"/>
      <c r="E58" s="653"/>
      <c r="F58" s="653"/>
      <c r="G58" s="653"/>
      <c r="H58" s="653"/>
      <c r="I58" s="653"/>
      <c r="J58" s="653"/>
      <c r="K58" s="653"/>
      <c r="L58" s="653"/>
      <c r="M58" s="653"/>
      <c r="N58" s="653"/>
      <c r="O58" s="653"/>
      <c r="P58" s="653"/>
      <c r="Q58" s="653"/>
      <c r="R58" s="653"/>
      <c r="S58" s="653"/>
      <c r="T58" s="653"/>
      <c r="U58" s="653"/>
      <c r="V58" s="653"/>
      <c r="W58" s="653"/>
      <c r="X58" s="653"/>
      <c r="Y58" s="653"/>
      <c r="Z58" s="653"/>
      <c r="AA58" s="653"/>
    </row>
    <row r="59" spans="3:27">
      <c r="C59" s="653"/>
      <c r="D59" s="653"/>
      <c r="E59" s="653"/>
      <c r="F59" s="653"/>
      <c r="G59" s="653"/>
      <c r="H59" s="653"/>
      <c r="I59" s="653"/>
      <c r="J59" s="653"/>
      <c r="K59" s="653"/>
      <c r="L59" s="653"/>
      <c r="M59" s="653"/>
      <c r="N59" s="653"/>
      <c r="O59" s="653"/>
      <c r="P59" s="653"/>
      <c r="Q59" s="653"/>
      <c r="R59" s="653"/>
      <c r="S59" s="653"/>
      <c r="T59" s="653"/>
      <c r="U59" s="653"/>
      <c r="V59" s="653"/>
      <c r="W59" s="653"/>
      <c r="X59" s="653"/>
      <c r="Y59" s="653"/>
      <c r="Z59" s="653"/>
      <c r="AA59" s="653"/>
    </row>
    <row r="60" spans="3:27">
      <c r="C60" s="653"/>
      <c r="D60" s="653"/>
      <c r="E60" s="653"/>
      <c r="F60" s="653"/>
      <c r="G60" s="653"/>
      <c r="H60" s="653"/>
      <c r="I60" s="653"/>
      <c r="J60" s="653"/>
      <c r="K60" s="653"/>
      <c r="L60" s="653"/>
      <c r="M60" s="653"/>
      <c r="N60" s="653"/>
      <c r="O60" s="653"/>
      <c r="P60" s="653"/>
      <c r="Q60" s="653"/>
      <c r="R60" s="653"/>
      <c r="S60" s="653"/>
      <c r="T60" s="653"/>
      <c r="U60" s="653"/>
      <c r="V60" s="653"/>
      <c r="W60" s="653"/>
      <c r="X60" s="653"/>
      <c r="Y60" s="653"/>
      <c r="Z60" s="653"/>
      <c r="AA60" s="653"/>
    </row>
    <row r="61" spans="3:27"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</row>
    <row r="62" spans="3:27">
      <c r="C62" s="653"/>
      <c r="D62" s="653"/>
      <c r="E62" s="653"/>
      <c r="F62" s="653"/>
      <c r="G62" s="653"/>
      <c r="H62" s="653"/>
      <c r="I62" s="653"/>
      <c r="J62" s="653"/>
      <c r="K62" s="653"/>
      <c r="L62" s="653"/>
      <c r="M62" s="653"/>
      <c r="N62" s="653"/>
      <c r="O62" s="653"/>
      <c r="P62" s="653"/>
      <c r="Q62" s="653"/>
      <c r="R62" s="653"/>
      <c r="S62" s="653"/>
      <c r="T62" s="653"/>
      <c r="U62" s="653"/>
      <c r="V62" s="653"/>
      <c r="W62" s="653"/>
      <c r="X62" s="653"/>
      <c r="Y62" s="653"/>
      <c r="Z62" s="653"/>
      <c r="AA62" s="653"/>
    </row>
    <row r="63" spans="3:27">
      <c r="C63" s="653"/>
      <c r="D63" s="653"/>
      <c r="E63" s="653"/>
      <c r="F63" s="653"/>
      <c r="G63" s="653"/>
      <c r="H63" s="653"/>
      <c r="I63" s="653"/>
      <c r="J63" s="653"/>
      <c r="K63" s="653"/>
      <c r="L63" s="653"/>
      <c r="M63" s="653"/>
      <c r="N63" s="653"/>
      <c r="O63" s="653"/>
      <c r="P63" s="653"/>
      <c r="Q63" s="653"/>
      <c r="R63" s="653"/>
      <c r="S63" s="653"/>
      <c r="T63" s="653"/>
      <c r="U63" s="653"/>
      <c r="V63" s="653"/>
      <c r="W63" s="653"/>
      <c r="X63" s="653"/>
      <c r="Y63" s="653"/>
      <c r="Z63" s="653"/>
      <c r="AA63" s="653"/>
    </row>
    <row r="64" spans="3:27">
      <c r="C64" s="653"/>
      <c r="D64" s="653"/>
      <c r="E64" s="653"/>
      <c r="F64" s="653"/>
      <c r="G64" s="653"/>
      <c r="H64" s="653"/>
      <c r="I64" s="653"/>
      <c r="J64" s="653"/>
      <c r="K64" s="653"/>
      <c r="L64" s="653"/>
      <c r="M64" s="653"/>
      <c r="N64" s="653"/>
      <c r="O64" s="653"/>
      <c r="P64" s="653"/>
      <c r="Q64" s="653"/>
      <c r="R64" s="653"/>
      <c r="S64" s="653"/>
      <c r="T64" s="653"/>
      <c r="U64" s="653"/>
      <c r="V64" s="653"/>
      <c r="W64" s="653"/>
      <c r="X64" s="653"/>
      <c r="Y64" s="653"/>
      <c r="Z64" s="653"/>
      <c r="AA64" s="653"/>
    </row>
    <row r="65" spans="3:27">
      <c r="C65" s="653"/>
      <c r="D65" s="653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653"/>
      <c r="P65" s="653"/>
      <c r="Q65" s="653"/>
      <c r="R65" s="653"/>
      <c r="S65" s="653"/>
      <c r="T65" s="653"/>
      <c r="U65" s="653"/>
      <c r="V65" s="653"/>
      <c r="W65" s="653"/>
      <c r="X65" s="653"/>
      <c r="Y65" s="653"/>
      <c r="Z65" s="653"/>
      <c r="AA65" s="653"/>
    </row>
    <row r="66" spans="3:27">
      <c r="C66" s="653"/>
      <c r="D66" s="653"/>
      <c r="E66" s="653"/>
      <c r="F66" s="653"/>
      <c r="G66" s="653"/>
      <c r="H66" s="653"/>
      <c r="I66" s="653"/>
      <c r="J66" s="653"/>
      <c r="K66" s="653"/>
      <c r="L66" s="653"/>
      <c r="M66" s="653"/>
      <c r="N66" s="653"/>
      <c r="O66" s="653"/>
      <c r="P66" s="653"/>
      <c r="Q66" s="653"/>
      <c r="R66" s="653"/>
      <c r="S66" s="653"/>
      <c r="T66" s="653"/>
      <c r="U66" s="653"/>
      <c r="V66" s="653"/>
      <c r="W66" s="653"/>
      <c r="X66" s="653"/>
      <c r="Y66" s="653"/>
      <c r="Z66" s="653"/>
      <c r="AA66" s="653"/>
    </row>
    <row r="67" spans="3:27">
      <c r="C67" s="653"/>
      <c r="D67" s="653"/>
      <c r="E67" s="653"/>
      <c r="F67" s="653"/>
      <c r="G67" s="653"/>
      <c r="H67" s="653"/>
      <c r="I67" s="653"/>
      <c r="J67" s="653"/>
      <c r="K67" s="653"/>
      <c r="L67" s="653"/>
      <c r="M67" s="653"/>
      <c r="N67" s="653"/>
      <c r="O67" s="653"/>
      <c r="P67" s="653"/>
      <c r="Q67" s="653"/>
      <c r="R67" s="653"/>
      <c r="S67" s="653"/>
      <c r="T67" s="653"/>
      <c r="U67" s="653"/>
      <c r="V67" s="653"/>
      <c r="W67" s="653"/>
      <c r="X67" s="653"/>
      <c r="Y67" s="653"/>
      <c r="Z67" s="653"/>
      <c r="AA67" s="653"/>
    </row>
    <row r="68" spans="3:27">
      <c r="C68" s="653"/>
      <c r="D68" s="653"/>
      <c r="E68" s="653"/>
      <c r="F68" s="653"/>
      <c r="G68" s="653"/>
      <c r="H68" s="653"/>
      <c r="I68" s="653"/>
      <c r="J68" s="653"/>
      <c r="K68" s="653"/>
      <c r="L68" s="653"/>
      <c r="M68" s="653"/>
      <c r="N68" s="653"/>
      <c r="O68" s="653"/>
      <c r="P68" s="653"/>
      <c r="Q68" s="653"/>
      <c r="R68" s="653"/>
      <c r="S68" s="653"/>
      <c r="T68" s="653"/>
      <c r="U68" s="653"/>
      <c r="V68" s="653"/>
      <c r="W68" s="653"/>
      <c r="X68" s="653"/>
      <c r="Y68" s="653"/>
      <c r="Z68" s="653"/>
      <c r="AA68" s="653"/>
    </row>
  </sheetData>
  <mergeCells count="48">
    <mergeCell ref="D29:G29"/>
    <mergeCell ref="H29:K29"/>
    <mergeCell ref="L29:O29"/>
    <mergeCell ref="P29:S29"/>
    <mergeCell ref="P3:S3"/>
    <mergeCell ref="L3:O3"/>
    <mergeCell ref="A20:Z20"/>
    <mergeCell ref="X3:AA3"/>
    <mergeCell ref="B29:C30"/>
    <mergeCell ref="T29:W29"/>
    <mergeCell ref="X29:AA29"/>
    <mergeCell ref="T21:W21"/>
    <mergeCell ref="P21:S21"/>
    <mergeCell ref="B21:C22"/>
    <mergeCell ref="D21:G21"/>
    <mergeCell ref="H21:K21"/>
    <mergeCell ref="AN3:AQ3"/>
    <mergeCell ref="AR3:AU3"/>
    <mergeCell ref="AV3:AY3"/>
    <mergeCell ref="AZ3:BC3"/>
    <mergeCell ref="B12:C13"/>
    <mergeCell ref="AZ12:BC12"/>
    <mergeCell ref="L21:O21"/>
    <mergeCell ref="AB29:AE29"/>
    <mergeCell ref="X21:AA21"/>
    <mergeCell ref="AB21:AE21"/>
    <mergeCell ref="AV12:AY12"/>
    <mergeCell ref="AB12:AE12"/>
    <mergeCell ref="AR12:AU12"/>
    <mergeCell ref="AF12:AI12"/>
    <mergeCell ref="AJ12:AM12"/>
    <mergeCell ref="AN12:AQ12"/>
    <mergeCell ref="BD12:BG12"/>
    <mergeCell ref="A2:Z2"/>
    <mergeCell ref="D12:G12"/>
    <mergeCell ref="H12:K12"/>
    <mergeCell ref="L12:O12"/>
    <mergeCell ref="P12:S12"/>
    <mergeCell ref="T12:W12"/>
    <mergeCell ref="X12:AA12"/>
    <mergeCell ref="B3:C4"/>
    <mergeCell ref="D3:G3"/>
    <mergeCell ref="H3:K3"/>
    <mergeCell ref="T3:W3"/>
    <mergeCell ref="AB3:AE3"/>
    <mergeCell ref="AF3:AI3"/>
    <mergeCell ref="BD3:BG3"/>
    <mergeCell ref="AJ3:AM3"/>
  </mergeCells>
  <pageMargins left="0.19685039370078741" right="0.11811023622047245" top="0.74803149606299213" bottom="0.74803149606299213" header="0.31496062992125984" footer="0.31496062992125984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Z29"/>
  <sheetViews>
    <sheetView zoomScale="90" zoomScaleNormal="90" workbookViewId="0">
      <selection activeCell="C9" sqref="C9"/>
    </sheetView>
  </sheetViews>
  <sheetFormatPr defaultRowHeight="12"/>
  <cols>
    <col min="1" max="1" width="11.140625" style="10" customWidth="1"/>
    <col min="2" max="2" width="10.140625" style="10" customWidth="1"/>
    <col min="3" max="26" width="11" style="10" bestFit="1" customWidth="1"/>
    <col min="27" max="16384" width="9.140625" style="10"/>
  </cols>
  <sheetData>
    <row r="2" spans="1:26" s="7" customFormat="1" ht="19.5" customHeight="1">
      <c r="A2" s="773" t="s">
        <v>31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26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6">
      <c r="A4" s="791"/>
      <c r="B4" s="792"/>
      <c r="C4" s="11" t="s">
        <v>2</v>
      </c>
      <c r="D4" s="11" t="s">
        <v>3</v>
      </c>
      <c r="E4" s="11" t="s">
        <v>4</v>
      </c>
      <c r="F4" s="11" t="s">
        <v>5</v>
      </c>
      <c r="G4" s="11" t="s">
        <v>2</v>
      </c>
      <c r="H4" s="11" t="s">
        <v>3</v>
      </c>
      <c r="I4" s="11" t="s">
        <v>4</v>
      </c>
      <c r="J4" s="11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6" ht="24">
      <c r="A5" s="14" t="s">
        <v>6</v>
      </c>
      <c r="B5" s="15" t="s">
        <v>7</v>
      </c>
      <c r="C5" s="16">
        <f>C9+C10+C11+C15</f>
        <v>2491.9516056402531</v>
      </c>
      <c r="D5" s="16">
        <f>D9+D10+C11+C15</f>
        <v>2815.8316056402532</v>
      </c>
      <c r="E5" s="16">
        <f>E9+E10+C11+C15</f>
        <v>2985.8916056402531</v>
      </c>
      <c r="F5" s="16">
        <f>F9+F10+C11+C15</f>
        <v>3131.4616056402533</v>
      </c>
      <c r="G5" s="16">
        <f>G9+G10+G11+G15</f>
        <v>3379.9813600283501</v>
      </c>
      <c r="H5" s="16">
        <f>H9+H10+G11+G15</f>
        <v>3703.8613600283502</v>
      </c>
      <c r="I5" s="16">
        <f>I9+I10+G11+G15</f>
        <v>3873.9213600283506</v>
      </c>
      <c r="J5" s="16">
        <f>J9+J10+G11+G15</f>
        <v>4019.4913600283503</v>
      </c>
      <c r="K5" s="16">
        <f>K9+K10+K11+K15</f>
        <v>3266.2874933626167</v>
      </c>
      <c r="L5" s="16">
        <f>L9+L10+K11+K15</f>
        <v>3590.1674933626164</v>
      </c>
      <c r="M5" s="16">
        <f>M9+M10+K11+K15</f>
        <v>3760.2274933626163</v>
      </c>
      <c r="N5" s="16">
        <f>N9+N10+K11+K15</f>
        <v>3905.7974933626165</v>
      </c>
      <c r="O5" s="16">
        <f>O9+O10+O11+O15</f>
        <v>4208.2793765040897</v>
      </c>
      <c r="P5" s="16">
        <f>P9+P10+O11+O15</f>
        <v>4532.1593765040898</v>
      </c>
      <c r="Q5" s="16">
        <f>Q9+Q10+O11+O15</f>
        <v>4702.2193765040902</v>
      </c>
      <c r="R5" s="16">
        <f>R9+R10+O11+O15</f>
        <v>4847.7893765040899</v>
      </c>
      <c r="S5" s="16">
        <f>S9+S10+S11+S15</f>
        <v>3828.2626996142758</v>
      </c>
      <c r="T5" s="16">
        <f>T9+T10+S11+S15</f>
        <v>4152.1426996142754</v>
      </c>
      <c r="U5" s="16">
        <f>U9+U10+S11+S15</f>
        <v>4322.2026996142749</v>
      </c>
      <c r="V5" s="16">
        <f>V9+V10+S11+S15</f>
        <v>4467.7726996142746</v>
      </c>
      <c r="W5" s="16">
        <f>W9+W10+W11+W15</f>
        <v>5149.9698408155646</v>
      </c>
      <c r="X5" s="16">
        <f>X9+X10+W11+W15</f>
        <v>5473.8498408155647</v>
      </c>
      <c r="Y5" s="16">
        <f>Y9+Y10+W11+W15</f>
        <v>5643.9098408155651</v>
      </c>
      <c r="Z5" s="16">
        <f>Z9+Z10+W11+W15</f>
        <v>5789.4798408155648</v>
      </c>
    </row>
    <row r="6" spans="1:26" ht="24">
      <c r="A6" s="14" t="s">
        <v>8</v>
      </c>
      <c r="B6" s="15" t="s">
        <v>7</v>
      </c>
      <c r="C6" s="16">
        <f>C9+C10+C12+C15</f>
        <v>2486.6493619779048</v>
      </c>
      <c r="D6" s="16">
        <f>D9+D10+C12+C15</f>
        <v>2810.529361977905</v>
      </c>
      <c r="E6" s="16">
        <f>E9+E10+C13+C15</f>
        <v>2949.3439975390679</v>
      </c>
      <c r="F6" s="16">
        <f>F9+F10+C12+C15</f>
        <v>3126.1593619779051</v>
      </c>
      <c r="G6" s="16">
        <f>G9+G10+G12+G15</f>
        <v>3373.9359640266962</v>
      </c>
      <c r="H6" s="16">
        <f>H9+H10+G12+G15</f>
        <v>3697.8159640266963</v>
      </c>
      <c r="I6" s="16">
        <f>I9+I10+G13+G15</f>
        <v>3832.2513090169514</v>
      </c>
      <c r="J6" s="16">
        <f>J9+J10+G12+G15</f>
        <v>4013.4459640266964</v>
      </c>
      <c r="K6" s="16">
        <f>K9+K10+K12+K15</f>
        <v>3260.6722395831307</v>
      </c>
      <c r="L6" s="16">
        <f>L9+L10+K12+K15</f>
        <v>3584.5522395831304</v>
      </c>
      <c r="M6" s="16">
        <f>M9+M10+K13+K15</f>
        <v>3721.5223512397311</v>
      </c>
      <c r="N6" s="16">
        <f>N9+N10+K12+K15</f>
        <v>3900.1822395831305</v>
      </c>
      <c r="O6" s="16">
        <f>O9+O10+O12+O15</f>
        <v>4203.1983462080179</v>
      </c>
      <c r="P6" s="16">
        <f>P9+P10+O12+O15</f>
        <v>4527.078346208018</v>
      </c>
      <c r="Q6" s="16">
        <f>Q9+Q10+O13+O15</f>
        <v>4667.1965605347368</v>
      </c>
      <c r="R6" s="16">
        <f>R9+R10+O12+O15</f>
        <v>4842.7083462080182</v>
      </c>
      <c r="S6" s="16">
        <f>S9+S10+S12+S15</f>
        <v>3824.4910588034431</v>
      </c>
      <c r="T6" s="16">
        <f>T9+T10+S12+S15</f>
        <v>4148.3710588034419</v>
      </c>
      <c r="U6" s="16">
        <f>U9+U10+S13+S15</f>
        <v>4296.2053183110347</v>
      </c>
      <c r="V6" s="16">
        <f>V9+V10+S12+S15</f>
        <v>4464.001058803442</v>
      </c>
      <c r="W6" s="16">
        <f>W9+W10+W12+W15</f>
        <v>5147.0162001013232</v>
      </c>
      <c r="X6" s="16">
        <f>X9+X10+W12+W15</f>
        <v>5470.8962001013233</v>
      </c>
      <c r="Y6" s="16">
        <f>Y9+Y10+W13+W15</f>
        <v>5623.5508173209728</v>
      </c>
      <c r="Z6" s="16">
        <f>Z9+Z10+W12+W15</f>
        <v>5786.5262001013234</v>
      </c>
    </row>
    <row r="7" spans="1:26" ht="24">
      <c r="A7" s="14" t="s">
        <v>9</v>
      </c>
      <c r="B7" s="15" t="s">
        <v>7</v>
      </c>
      <c r="C7" s="16">
        <f>C9+C10+C13+C15</f>
        <v>2455.4039975390679</v>
      </c>
      <c r="D7" s="16">
        <f>D9+D10+C13+C15</f>
        <v>2779.283997539068</v>
      </c>
      <c r="E7" s="16">
        <f>E9+E10+C14+C15</f>
        <v>2924.0447206358645</v>
      </c>
      <c r="F7" s="16">
        <f>F9+F10+C13+C15</f>
        <v>3094.9139975390681</v>
      </c>
      <c r="G7" s="16">
        <f>G9+G10+G13+G15</f>
        <v>3338.3113090169509</v>
      </c>
      <c r="H7" s="16">
        <f>H9+H10+G13+G15</f>
        <v>3662.191309016951</v>
      </c>
      <c r="I7" s="16">
        <f>I9+I10+G14+G15</f>
        <v>3803.4061338090605</v>
      </c>
      <c r="J7" s="16">
        <f>J9+J10+G13+G15</f>
        <v>3977.8213090169511</v>
      </c>
      <c r="K7" s="16">
        <f>K9+K10+K13+K15</f>
        <v>3227.5823512397315</v>
      </c>
      <c r="L7" s="16">
        <f>L9+L10+K13+K15</f>
        <v>3551.4623512397311</v>
      </c>
      <c r="M7" s="16">
        <f>M9+M10+K14+K15</f>
        <v>3697.0861338090599</v>
      </c>
      <c r="N7" s="16">
        <f>N9+N10+K13+K15</f>
        <v>3867.0923512397312</v>
      </c>
      <c r="O7" s="16">
        <f>O9+O10+O13+O15</f>
        <v>4173.2565605347363</v>
      </c>
      <c r="P7" s="16">
        <f>P9+P10+O13+O15</f>
        <v>4497.1365605347364</v>
      </c>
      <c r="Q7" s="16">
        <f>Q9+Q10+O14+O15</f>
        <v>4642.9527874077658</v>
      </c>
      <c r="R7" s="16">
        <f>R9+R10+O13+O15</f>
        <v>4812.7665605347365</v>
      </c>
      <c r="S7" s="16">
        <f>S9+S10+S13+S15</f>
        <v>3802.265318311036</v>
      </c>
      <c r="T7" s="16">
        <f>T9+T10+S13+S15</f>
        <v>4126.1453183110352</v>
      </c>
      <c r="U7" s="16">
        <f>U9+U10+S14+S15</f>
        <v>4278.2092035850619</v>
      </c>
      <c r="V7" s="16">
        <f>V9+V10+S13+S15</f>
        <v>4441.7753183110344</v>
      </c>
      <c r="W7" s="16">
        <f>W9+W10+W13+W15</f>
        <v>5129.6108173209723</v>
      </c>
      <c r="X7" s="16">
        <f>X9+X10+W13+W15</f>
        <v>5453.4908173209724</v>
      </c>
      <c r="Y7" s="16">
        <f>Y9+Y10+W14+W15</f>
        <v>5609.4577316273071</v>
      </c>
      <c r="Z7" s="16">
        <f>Z9+Z10+W13+W15</f>
        <v>5769.1208173209725</v>
      </c>
    </row>
    <row r="8" spans="1:26" ht="24.75" thickBot="1">
      <c r="A8" s="14" t="s">
        <v>10</v>
      </c>
      <c r="B8" s="15" t="s">
        <v>7</v>
      </c>
      <c r="C8" s="16">
        <f>C9+C10+C14+C15</f>
        <v>2430.1047206358644</v>
      </c>
      <c r="D8" s="16">
        <f>D9+D10+C14+C15</f>
        <v>2753.9847206358645</v>
      </c>
      <c r="E8" s="16">
        <f>E9+E10+E14+E15</f>
        <v>2891.94</v>
      </c>
      <c r="F8" s="16">
        <f>F9+F10+C14+C15</f>
        <v>3069.6147206358646</v>
      </c>
      <c r="G8" s="16">
        <f>G9+G10+G14+G15</f>
        <v>3309.46613380906</v>
      </c>
      <c r="H8" s="16">
        <f>H9+H10+G14+G15</f>
        <v>3633.3461338090601</v>
      </c>
      <c r="I8" s="16">
        <f>I9+I10+I14+I15</f>
        <v>3767.2300000000005</v>
      </c>
      <c r="J8" s="16">
        <f>J9+J10+G14+G15</f>
        <v>3948.9761338090602</v>
      </c>
      <c r="K8" s="16">
        <f>K9+K10+K14+K15</f>
        <v>3203.1461338090603</v>
      </c>
      <c r="L8" s="16">
        <f>L9+L10+K14+K15</f>
        <v>3527.02613380906</v>
      </c>
      <c r="M8" s="16">
        <f>M9+M10+M14+M15</f>
        <v>3660.91</v>
      </c>
      <c r="N8" s="16">
        <f>N9+N10+K14+K15</f>
        <v>3842.6561338090601</v>
      </c>
      <c r="O8" s="16">
        <f>O9+O10+O14+O15</f>
        <v>4149.0127874077652</v>
      </c>
      <c r="P8" s="16">
        <f>P9+P10+O14+O15</f>
        <v>4472.8927874077654</v>
      </c>
      <c r="Q8" s="16">
        <f>Q9+Q10+Q14+Q15</f>
        <v>4612.0600000000004</v>
      </c>
      <c r="R8" s="16">
        <f>R9+R10+O14+O15</f>
        <v>4788.5227874077655</v>
      </c>
      <c r="S8" s="16">
        <f>S9+S10+S14+S15</f>
        <v>3784.2692035850623</v>
      </c>
      <c r="T8" s="16">
        <f>T9+T10+S14+S15</f>
        <v>4108.1492035850615</v>
      </c>
      <c r="U8" s="16">
        <f>U9+U10+U14+U15</f>
        <v>4254.49</v>
      </c>
      <c r="V8" s="16">
        <f>V9+V10+S14+S15</f>
        <v>4423.7792035850616</v>
      </c>
      <c r="W8" s="16">
        <f>W9+W10+W14+W15</f>
        <v>5115.5177316273066</v>
      </c>
      <c r="X8" s="16">
        <f>X9+X10+W14+W15</f>
        <v>5439.3977316273067</v>
      </c>
      <c r="Y8" s="16">
        <f>Y9+Y10+Y14+Y15</f>
        <v>5590.22</v>
      </c>
      <c r="Z8" s="16">
        <f>Z9+Z10+W14+W15</f>
        <v>5755.0277316273068</v>
      </c>
    </row>
    <row r="9" spans="1:26" ht="25.5" customHeight="1" thickBot="1">
      <c r="A9" s="854" t="s">
        <v>226</v>
      </c>
      <c r="B9" s="855"/>
      <c r="C9" s="487">
        <f>ком!B33</f>
        <v>2046.22</v>
      </c>
      <c r="D9" s="487">
        <f>C9</f>
        <v>2046.22</v>
      </c>
      <c r="E9" s="487">
        <f>C9</f>
        <v>2046.22</v>
      </c>
      <c r="F9" s="488">
        <f>C9</f>
        <v>2046.22</v>
      </c>
      <c r="G9" s="487">
        <f>ком!C33</f>
        <v>2921.51</v>
      </c>
      <c r="H9" s="487">
        <f>G9</f>
        <v>2921.51</v>
      </c>
      <c r="I9" s="487">
        <f>G9</f>
        <v>2921.51</v>
      </c>
      <c r="J9" s="488">
        <f>G9</f>
        <v>2921.51</v>
      </c>
      <c r="K9" s="487">
        <f>ком!D33</f>
        <v>2815.19</v>
      </c>
      <c r="L9" s="487">
        <f>K9</f>
        <v>2815.19</v>
      </c>
      <c r="M9" s="487">
        <f>K9</f>
        <v>2815.19</v>
      </c>
      <c r="N9" s="488">
        <f>K9</f>
        <v>2815.19</v>
      </c>
      <c r="O9" s="487">
        <f>ком!E33</f>
        <v>3766.34</v>
      </c>
      <c r="P9" s="487">
        <f>O9</f>
        <v>3766.34</v>
      </c>
      <c r="Q9" s="487">
        <f>O9</f>
        <v>3766.34</v>
      </c>
      <c r="R9" s="488">
        <f>O9</f>
        <v>3766.34</v>
      </c>
      <c r="S9" s="487">
        <f>ком!F33</f>
        <v>3408.77</v>
      </c>
      <c r="T9" s="487">
        <f>S9</f>
        <v>3408.77</v>
      </c>
      <c r="U9" s="487">
        <f>S9</f>
        <v>3408.77</v>
      </c>
      <c r="V9" s="488">
        <f>S9</f>
        <v>3408.77</v>
      </c>
      <c r="W9" s="487">
        <f>ком!G33</f>
        <v>4744.5</v>
      </c>
      <c r="X9" s="487">
        <f>W9</f>
        <v>4744.5</v>
      </c>
      <c r="Y9" s="487">
        <f>W9</f>
        <v>4744.5</v>
      </c>
      <c r="Z9" s="488">
        <f>W9</f>
        <v>4744.5</v>
      </c>
    </row>
    <row r="10" spans="1:26" ht="15" customHeight="1">
      <c r="A10" s="856" t="s">
        <v>227</v>
      </c>
      <c r="B10" s="857"/>
      <c r="C10" s="489">
        <f>передача!D7</f>
        <v>351.78</v>
      </c>
      <c r="D10" s="489">
        <f>передача!D8</f>
        <v>675.66</v>
      </c>
      <c r="E10" s="489">
        <f>передача!D9</f>
        <v>845.72</v>
      </c>
      <c r="F10" s="490">
        <f>передача!D10</f>
        <v>991.29</v>
      </c>
      <c r="G10" s="489">
        <f t="shared" ref="G10:Z10" si="0">C10</f>
        <v>351.78</v>
      </c>
      <c r="H10" s="489">
        <f t="shared" si="0"/>
        <v>675.66</v>
      </c>
      <c r="I10" s="489">
        <f t="shared" si="0"/>
        <v>845.72</v>
      </c>
      <c r="J10" s="489">
        <f t="shared" si="0"/>
        <v>991.29</v>
      </c>
      <c r="K10" s="489">
        <f t="shared" si="0"/>
        <v>351.78</v>
      </c>
      <c r="L10" s="489">
        <f t="shared" si="0"/>
        <v>675.66</v>
      </c>
      <c r="M10" s="489">
        <f t="shared" si="0"/>
        <v>845.72</v>
      </c>
      <c r="N10" s="489">
        <f t="shared" si="0"/>
        <v>991.29</v>
      </c>
      <c r="O10" s="489">
        <f t="shared" si="0"/>
        <v>351.78</v>
      </c>
      <c r="P10" s="489">
        <f t="shared" si="0"/>
        <v>675.66</v>
      </c>
      <c r="Q10" s="489">
        <f t="shared" si="0"/>
        <v>845.72</v>
      </c>
      <c r="R10" s="489">
        <f t="shared" si="0"/>
        <v>991.29</v>
      </c>
      <c r="S10" s="489">
        <f t="shared" si="0"/>
        <v>351.78</v>
      </c>
      <c r="T10" s="489">
        <f t="shared" si="0"/>
        <v>675.66</v>
      </c>
      <c r="U10" s="489">
        <f t="shared" si="0"/>
        <v>845.72</v>
      </c>
      <c r="V10" s="489">
        <f t="shared" si="0"/>
        <v>991.29</v>
      </c>
      <c r="W10" s="489">
        <f t="shared" si="0"/>
        <v>351.78</v>
      </c>
      <c r="X10" s="489">
        <f t="shared" si="0"/>
        <v>675.66</v>
      </c>
      <c r="Y10" s="489">
        <f t="shared" si="0"/>
        <v>845.72</v>
      </c>
      <c r="Z10" s="489">
        <f t="shared" si="0"/>
        <v>991.29</v>
      </c>
    </row>
    <row r="11" spans="1:26" ht="15" customHeight="1">
      <c r="A11" s="850" t="s">
        <v>228</v>
      </c>
      <c r="B11" s="851"/>
      <c r="C11" s="842">
        <f>сн!F4*1000</f>
        <v>90.895605640253066</v>
      </c>
      <c r="D11" s="843"/>
      <c r="E11" s="843"/>
      <c r="F11" s="844"/>
      <c r="G11" s="842">
        <f>сн!F7*1000</f>
        <v>103.63536002835005</v>
      </c>
      <c r="H11" s="843"/>
      <c r="I11" s="843"/>
      <c r="J11" s="844"/>
      <c r="K11" s="842">
        <f>сн!F10*1000</f>
        <v>96.261493362616278</v>
      </c>
      <c r="L11" s="843"/>
      <c r="M11" s="843"/>
      <c r="N11" s="844"/>
      <c r="O11" s="842">
        <f>сн!F13*1000</f>
        <v>87.103376504090178</v>
      </c>
      <c r="P11" s="843"/>
      <c r="Q11" s="843"/>
      <c r="R11" s="844"/>
      <c r="S11" s="842">
        <f>сн!F16*1000</f>
        <v>64.656699614275581</v>
      </c>
      <c r="T11" s="843"/>
      <c r="U11" s="843"/>
      <c r="V11" s="844"/>
      <c r="W11" s="842">
        <f>сн!F19*1000</f>
        <v>50.633840815564952</v>
      </c>
      <c r="X11" s="843"/>
      <c r="Y11" s="843"/>
      <c r="Z11" s="844"/>
    </row>
    <row r="12" spans="1:26" ht="15" customHeight="1">
      <c r="A12" s="850" t="s">
        <v>191</v>
      </c>
      <c r="B12" s="851"/>
      <c r="C12" s="842">
        <f>сн!G4*1000</f>
        <v>85.593361977904991</v>
      </c>
      <c r="D12" s="843"/>
      <c r="E12" s="843"/>
      <c r="F12" s="844"/>
      <c r="G12" s="842">
        <f>сн!G7*1000</f>
        <v>97.589964026696308</v>
      </c>
      <c r="H12" s="843"/>
      <c r="I12" s="843"/>
      <c r="J12" s="844"/>
      <c r="K12" s="842">
        <f>сн!G10*1000</f>
        <v>90.646239583130338</v>
      </c>
      <c r="L12" s="843"/>
      <c r="M12" s="843"/>
      <c r="N12" s="844"/>
      <c r="O12" s="842">
        <f>сн!G13*1000</f>
        <v>82.022346208018263</v>
      </c>
      <c r="P12" s="843"/>
      <c r="Q12" s="843"/>
      <c r="R12" s="844"/>
      <c r="S12" s="842">
        <f>сн!G16*1000</f>
        <v>60.885058803442853</v>
      </c>
      <c r="T12" s="843"/>
      <c r="U12" s="843"/>
      <c r="V12" s="844"/>
      <c r="W12" s="842">
        <f>сн!G19*1000</f>
        <v>47.68020010132367</v>
      </c>
      <c r="X12" s="843"/>
      <c r="Y12" s="843"/>
      <c r="Z12" s="844"/>
    </row>
    <row r="13" spans="1:26" ht="15" customHeight="1">
      <c r="A13" s="850" t="s">
        <v>158</v>
      </c>
      <c r="B13" s="851"/>
      <c r="C13" s="842">
        <f>сн!H4*1000</f>
        <v>54.347997539067983</v>
      </c>
      <c r="D13" s="843"/>
      <c r="E13" s="843"/>
      <c r="F13" s="844"/>
      <c r="G13" s="842">
        <f>сн!H7*1000</f>
        <v>61.965309016950968</v>
      </c>
      <c r="H13" s="843"/>
      <c r="I13" s="843"/>
      <c r="J13" s="844"/>
      <c r="K13" s="842">
        <f>сн!H10*1000</f>
        <v>57.556351239730979</v>
      </c>
      <c r="L13" s="843"/>
      <c r="M13" s="843"/>
      <c r="N13" s="844"/>
      <c r="O13" s="842">
        <f>сн!H13*1000</f>
        <v>52.080560534737252</v>
      </c>
      <c r="P13" s="843"/>
      <c r="Q13" s="843"/>
      <c r="R13" s="844"/>
      <c r="S13" s="842">
        <f>сн!H16*1000</f>
        <v>38.659318311035605</v>
      </c>
      <c r="T13" s="843"/>
      <c r="U13" s="843"/>
      <c r="V13" s="844"/>
      <c r="W13" s="842">
        <f>сн!H19*1000</f>
        <v>30.274817320973209</v>
      </c>
      <c r="X13" s="843"/>
      <c r="Y13" s="843"/>
      <c r="Z13" s="844"/>
    </row>
    <row r="14" spans="1:26" ht="15" customHeight="1">
      <c r="A14" s="850" t="s">
        <v>159</v>
      </c>
      <c r="B14" s="851"/>
      <c r="C14" s="842">
        <f>сн!I4*1000</f>
        <v>29.04872063586421</v>
      </c>
      <c r="D14" s="843"/>
      <c r="E14" s="843"/>
      <c r="F14" s="844"/>
      <c r="G14" s="842">
        <f>сн!I7*1000</f>
        <v>33.120133809060214</v>
      </c>
      <c r="H14" s="843"/>
      <c r="I14" s="843"/>
      <c r="J14" s="844"/>
      <c r="K14" s="842">
        <f>сн!I7*1000</f>
        <v>33.120133809060214</v>
      </c>
      <c r="L14" s="843"/>
      <c r="M14" s="843"/>
      <c r="N14" s="844"/>
      <c r="O14" s="842">
        <f>сн!I13*1000</f>
        <v>27.836787407765488</v>
      </c>
      <c r="P14" s="843"/>
      <c r="Q14" s="843"/>
      <c r="R14" s="844"/>
      <c r="S14" s="842">
        <f>сн!I16*1000</f>
        <v>20.663203585062242</v>
      </c>
      <c r="T14" s="843"/>
      <c r="U14" s="843"/>
      <c r="V14" s="844"/>
      <c r="W14" s="842">
        <f>сн!I19*1000</f>
        <v>16.181731627307634</v>
      </c>
      <c r="X14" s="843"/>
      <c r="Y14" s="843"/>
      <c r="Z14" s="844"/>
    </row>
    <row r="15" spans="1:26" ht="15.75" customHeight="1" thickBot="1">
      <c r="A15" s="852" t="s">
        <v>229</v>
      </c>
      <c r="B15" s="853"/>
      <c r="C15" s="845">
        <f>инфраструктура!W14*1000</f>
        <v>3.0559999999999996</v>
      </c>
      <c r="D15" s="845"/>
      <c r="E15" s="845"/>
      <c r="F15" s="846"/>
      <c r="G15" s="845">
        <f>C15</f>
        <v>3.0559999999999996</v>
      </c>
      <c r="H15" s="845"/>
      <c r="I15" s="845"/>
      <c r="J15" s="846"/>
      <c r="K15" s="845">
        <f>G15</f>
        <v>3.0559999999999996</v>
      </c>
      <c r="L15" s="845"/>
      <c r="M15" s="845"/>
      <c r="N15" s="846"/>
      <c r="O15" s="845">
        <f>K15</f>
        <v>3.0559999999999996</v>
      </c>
      <c r="P15" s="845"/>
      <c r="Q15" s="845"/>
      <c r="R15" s="846"/>
      <c r="S15" s="845">
        <f>O15</f>
        <v>3.0559999999999996</v>
      </c>
      <c r="T15" s="845"/>
      <c r="U15" s="845"/>
      <c r="V15" s="846"/>
      <c r="W15" s="845">
        <f>S15</f>
        <v>3.0559999999999996</v>
      </c>
      <c r="X15" s="845"/>
      <c r="Y15" s="845"/>
      <c r="Z15" s="846"/>
    </row>
    <row r="16" spans="1:26" ht="15.75" customHeight="1">
      <c r="A16" s="788" t="s">
        <v>27</v>
      </c>
      <c r="B16" s="790"/>
      <c r="C16" s="847" t="s">
        <v>17</v>
      </c>
      <c r="D16" s="848"/>
      <c r="E16" s="848"/>
      <c r="F16" s="849"/>
      <c r="G16" s="847" t="s">
        <v>18</v>
      </c>
      <c r="H16" s="848"/>
      <c r="I16" s="848"/>
      <c r="J16" s="849"/>
      <c r="K16" s="847" t="s">
        <v>19</v>
      </c>
      <c r="L16" s="848"/>
      <c r="M16" s="848"/>
      <c r="N16" s="849"/>
      <c r="O16" s="847" t="s">
        <v>20</v>
      </c>
      <c r="P16" s="848"/>
      <c r="Q16" s="848"/>
      <c r="R16" s="849"/>
      <c r="S16" s="847" t="s">
        <v>21</v>
      </c>
      <c r="T16" s="848"/>
      <c r="U16" s="848"/>
      <c r="V16" s="849"/>
      <c r="W16" s="847" t="s">
        <v>22</v>
      </c>
      <c r="X16" s="848"/>
      <c r="Y16" s="848"/>
      <c r="Z16" s="849"/>
    </row>
    <row r="17" spans="1:26">
      <c r="A17" s="791"/>
      <c r="B17" s="792"/>
      <c r="C17" s="11" t="s">
        <v>2</v>
      </c>
      <c r="D17" s="11" t="s">
        <v>3</v>
      </c>
      <c r="E17" s="11" t="s">
        <v>4</v>
      </c>
      <c r="F17" s="11" t="s">
        <v>5</v>
      </c>
      <c r="G17" s="11" t="s">
        <v>2</v>
      </c>
      <c r="H17" s="11" t="s">
        <v>3</v>
      </c>
      <c r="I17" s="11" t="s">
        <v>4</v>
      </c>
      <c r="J17" s="11" t="s">
        <v>5</v>
      </c>
      <c r="K17" s="12" t="s">
        <v>2</v>
      </c>
      <c r="L17" s="12" t="s">
        <v>3</v>
      </c>
      <c r="M17" s="12" t="s">
        <v>4</v>
      </c>
      <c r="N17" s="12" t="s">
        <v>5</v>
      </c>
      <c r="O17" s="13" t="s">
        <v>2</v>
      </c>
      <c r="P17" s="13" t="s">
        <v>3</v>
      </c>
      <c r="Q17" s="13" t="s">
        <v>4</v>
      </c>
      <c r="R17" s="13" t="s">
        <v>5</v>
      </c>
      <c r="S17" s="12" t="s">
        <v>2</v>
      </c>
      <c r="T17" s="12" t="s">
        <v>3</v>
      </c>
      <c r="U17" s="12" t="s">
        <v>4</v>
      </c>
      <c r="V17" s="12" t="s">
        <v>5</v>
      </c>
      <c r="W17" s="13" t="s">
        <v>2</v>
      </c>
      <c r="X17" s="13" t="s">
        <v>3</v>
      </c>
      <c r="Y17" s="13" t="s">
        <v>4</v>
      </c>
      <c r="Z17" s="13" t="s">
        <v>5</v>
      </c>
    </row>
    <row r="18" spans="1:26" ht="24">
      <c r="A18" s="14" t="s">
        <v>6</v>
      </c>
      <c r="B18" s="15" t="s">
        <v>7</v>
      </c>
      <c r="C18" s="16">
        <f>C22+C23+C24+C28</f>
        <v>6465.0643666096366</v>
      </c>
      <c r="D18" s="16">
        <f>D22+D23+C24+C28</f>
        <v>6810.3143666096366</v>
      </c>
      <c r="E18" s="16">
        <f>E22+E23+C24+C28</f>
        <v>6991.6043666096366</v>
      </c>
      <c r="F18" s="16">
        <f>F22+F23+C24+C28</f>
        <v>7146.7843666096369</v>
      </c>
      <c r="G18" s="16">
        <f>G22+G23+G24+G28</f>
        <v>4599.5698008278614</v>
      </c>
      <c r="H18" s="16">
        <f>H22+H23+G24+G28</f>
        <v>4944.8198008278614</v>
      </c>
      <c r="I18" s="16">
        <f>I22+I23+G24+G28</f>
        <v>5126.1098008278605</v>
      </c>
      <c r="J18" s="16">
        <f>J22+J23+G24+G28</f>
        <v>5281.2898008278607</v>
      </c>
      <c r="K18" s="16">
        <f>K22+K23+K24+K28</f>
        <v>4203.8670367021305</v>
      </c>
      <c r="L18" s="16">
        <f>L22+L23+K24+K28</f>
        <v>4549.1170367021305</v>
      </c>
      <c r="M18" s="16">
        <f>M22+M23+K24+K28</f>
        <v>4730.4070367021304</v>
      </c>
      <c r="N18" s="16">
        <f>N22+N23+K24+K28</f>
        <v>4885.5870367021307</v>
      </c>
      <c r="O18" s="16">
        <f>O22+O23+O24+O28</f>
        <v>3415.922148670415</v>
      </c>
      <c r="P18" s="16">
        <f>P22+P23+O24+O28</f>
        <v>3761.172148670415</v>
      </c>
      <c r="Q18" s="16">
        <f>Q22+Q23+O24+O28</f>
        <v>3942.462148670415</v>
      </c>
      <c r="R18" s="16">
        <f>R22+R23+O24+O28</f>
        <v>4097.6421486704148</v>
      </c>
      <c r="S18" s="16">
        <f>S22+S23+S24+S28</f>
        <v>2685.2373160202496</v>
      </c>
      <c r="T18" s="16">
        <f>T22+T23+S24+S28</f>
        <v>3030.4873160202496</v>
      </c>
      <c r="U18" s="16">
        <f>U22+U23+S24+S28</f>
        <v>3211.7773160202496</v>
      </c>
      <c r="V18" s="16">
        <f>V22+V23+S24+S28</f>
        <v>3366.9573160202499</v>
      </c>
      <c r="W18" s="16">
        <f>W22+W23+W24+W28</f>
        <v>2455.5774490142417</v>
      </c>
      <c r="X18" s="16">
        <f>X22+X23+W24+W28</f>
        <v>2800.8274490142417</v>
      </c>
      <c r="Y18" s="16">
        <f>Y22+Y23+W24+W28</f>
        <v>2982.1174490142416</v>
      </c>
      <c r="Z18" s="16">
        <f>Z22+Z23+W24+W28</f>
        <v>3137.2974490142415</v>
      </c>
    </row>
    <row r="19" spans="1:26" ht="24">
      <c r="A19" s="14" t="s">
        <v>8</v>
      </c>
      <c r="B19" s="15" t="s">
        <v>7</v>
      </c>
      <c r="C19" s="16">
        <f>C22+C23+C25+C28</f>
        <v>6453.0112202240743</v>
      </c>
      <c r="D19" s="16">
        <f>D22+D23+C25+C28</f>
        <v>6798.2612202240743</v>
      </c>
      <c r="E19" s="16">
        <f>E22+E23+C26+C28</f>
        <v>6908.523750452011</v>
      </c>
      <c r="F19" s="16">
        <f>F22+F23+C25+C28</f>
        <v>7134.7312202240746</v>
      </c>
      <c r="G19" s="16">
        <f>G22+G23+G25+G28</f>
        <v>4587.6890041129027</v>
      </c>
      <c r="H19" s="16">
        <f>H22+H23+G25+G28</f>
        <v>4932.9390041129027</v>
      </c>
      <c r="I19" s="16">
        <f>I22+I23+G26+G28</f>
        <v>5044.2171663283243</v>
      </c>
      <c r="J19" s="16">
        <f>J22+J23+G25+G28</f>
        <v>5269.409004112902</v>
      </c>
      <c r="K19" s="16">
        <f>K22+K23+K25+K28</f>
        <v>4188.1725678945068</v>
      </c>
      <c r="L19" s="16">
        <f>L22+L23+K25+K28</f>
        <v>4533.4225678945068</v>
      </c>
      <c r="M19" s="16">
        <f>M22+M23+K26+K28</f>
        <v>4622.2273052781484</v>
      </c>
      <c r="N19" s="16">
        <f>N22+N23+K25+K28</f>
        <v>4869.8925678945061</v>
      </c>
      <c r="O19" s="16">
        <f>O22+O23+O25+O28</f>
        <v>3398.4312983313075</v>
      </c>
      <c r="P19" s="16">
        <f>P22+P23+O25+O28</f>
        <v>3743.6812983313075</v>
      </c>
      <c r="Q19" s="16">
        <f>Q22+Q23+O26+O28</f>
        <v>3821.9002159758525</v>
      </c>
      <c r="R19" s="16">
        <f>R22+R23+O25+O28</f>
        <v>4080.1512983313078</v>
      </c>
      <c r="S19" s="16">
        <f>S22+S23+S25+S28</f>
        <v>2666.5859142524018</v>
      </c>
      <c r="T19" s="16">
        <f>T22+T23+S25+S28</f>
        <v>3011.8359142524018</v>
      </c>
      <c r="U19" s="16">
        <f>U22+U23+S26+S28</f>
        <v>3083.215868120441</v>
      </c>
      <c r="V19" s="16">
        <f>V22+V23+S25+S28</f>
        <v>3348.3059142524021</v>
      </c>
      <c r="W19" s="16">
        <f>W22+W23+W25+W28</f>
        <v>2436.4552894884109</v>
      </c>
      <c r="X19" s="16">
        <f>X22+X23+W25+W28</f>
        <v>2781.7052894884109</v>
      </c>
      <c r="Y19" s="16">
        <f>Y22+Y23+W26+W28</f>
        <v>2850.3111351397656</v>
      </c>
      <c r="Z19" s="16">
        <f>Z22+Z23+W25+W28</f>
        <v>3118.1752894884107</v>
      </c>
    </row>
    <row r="20" spans="1:26" ht="24">
      <c r="A20" s="14" t="s">
        <v>9</v>
      </c>
      <c r="B20" s="15" t="s">
        <v>7</v>
      </c>
      <c r="C20" s="16">
        <f>C22+C23+C26+C28</f>
        <v>6381.983750452011</v>
      </c>
      <c r="D20" s="16">
        <f>D22+D23+C26+C28</f>
        <v>6727.233750452011</v>
      </c>
      <c r="E20" s="16">
        <f>E22+E23+C27+C28</f>
        <v>6851.0130234123289</v>
      </c>
      <c r="F20" s="16">
        <f>F22+F23+C26+C28</f>
        <v>7063.7037504520113</v>
      </c>
      <c r="G20" s="16">
        <f>G22+G23+G26+G28</f>
        <v>4517.6771663283253</v>
      </c>
      <c r="H20" s="16">
        <f>H22+H23+G26+G28</f>
        <v>4862.9271663283253</v>
      </c>
      <c r="I20" s="16">
        <f>I22+I23+G27+G28</f>
        <v>4987.5287934312364</v>
      </c>
      <c r="J20" s="16">
        <f>J22+J23+G26+G28</f>
        <v>5199.3971663283246</v>
      </c>
      <c r="K20" s="16">
        <f>K22+K23+K26+K28</f>
        <v>4095.6873052781493</v>
      </c>
      <c r="L20" s="16">
        <f>L22+L23+K26+K28</f>
        <v>4440.9373052781484</v>
      </c>
      <c r="M20" s="16">
        <f>M22+M23+K27+K28</f>
        <v>4547.3422683960553</v>
      </c>
      <c r="N20" s="16">
        <f>N22+N23+K26+K28</f>
        <v>4777.4073052781487</v>
      </c>
      <c r="O20" s="16">
        <f>O22+O23+O26+O28</f>
        <v>3295.3602159758525</v>
      </c>
      <c r="P20" s="16">
        <f>P22+P23+O26+O28</f>
        <v>3640.6102159758525</v>
      </c>
      <c r="Q20" s="16">
        <f>Q22+Q23+O27+O28</f>
        <v>3738.4438729292533</v>
      </c>
      <c r="R20" s="16">
        <f>R22+R23+O26+O28</f>
        <v>3977.0802159758528</v>
      </c>
      <c r="S20" s="16">
        <f>S22+S23+S26+S28</f>
        <v>2556.675868120441</v>
      </c>
      <c r="T20" s="16">
        <f>T22+T23+S26+S28</f>
        <v>2901.925868120441</v>
      </c>
      <c r="U20" s="16">
        <f>U22+U23+S27+S28</f>
        <v>2994.2220368281382</v>
      </c>
      <c r="V20" s="16">
        <f>V22+V23+S26+S28</f>
        <v>3238.3958681204413</v>
      </c>
      <c r="W20" s="16">
        <f>W22+W23+W26+W28</f>
        <v>2323.7711351397656</v>
      </c>
      <c r="X20" s="16">
        <f>X22+X23+W26+W28</f>
        <v>2669.0211351397656</v>
      </c>
      <c r="Y20" s="16">
        <f>Y22+Y23+W27+W28</f>
        <v>2759.0711168308017</v>
      </c>
      <c r="Z20" s="16">
        <f>Z22+Z23+W26+W28</f>
        <v>3005.4911351397654</v>
      </c>
    </row>
    <row r="21" spans="1:26" ht="24.75" thickBot="1">
      <c r="A21" s="14" t="s">
        <v>10</v>
      </c>
      <c r="B21" s="15" t="s">
        <v>7</v>
      </c>
      <c r="C21" s="16">
        <f>C22+C23+C27+C28</f>
        <v>6324.473023412329</v>
      </c>
      <c r="D21" s="16">
        <f>D22+D23+C27+C28</f>
        <v>6669.723023412329</v>
      </c>
      <c r="E21" s="16">
        <f>E22+E23+E27+E28</f>
        <v>6781.61</v>
      </c>
      <c r="F21" s="16">
        <f>F22+F23+C27+C28</f>
        <v>7006.1930234123292</v>
      </c>
      <c r="G21" s="16">
        <f>G22+G23+G27+G28</f>
        <v>4460.9887934312374</v>
      </c>
      <c r="H21" s="16">
        <f>H22+H23+G27+G28</f>
        <v>4806.2387934312374</v>
      </c>
      <c r="I21" s="16">
        <f>I22+I23+I27+I28</f>
        <v>4919.07</v>
      </c>
      <c r="J21" s="16">
        <f>J22+J23+G27+G28</f>
        <v>5142.7087934312367</v>
      </c>
      <c r="K21" s="16">
        <f>K22+K23+K27+K28</f>
        <v>4020.8022683960562</v>
      </c>
      <c r="L21" s="16">
        <f>L22+L23+K27+K28</f>
        <v>4366.0522683960553</v>
      </c>
      <c r="M21" s="16">
        <f>M22+M23+M27+M28</f>
        <v>4457.99</v>
      </c>
      <c r="N21" s="16">
        <f>N22+N23+K27+K28</f>
        <v>4702.5222683960556</v>
      </c>
      <c r="O21" s="16">
        <f>O22+O23+O27+O28</f>
        <v>3211.9038729292533</v>
      </c>
      <c r="P21" s="16">
        <f>P22+P23+O27+O28</f>
        <v>3557.1538729292533</v>
      </c>
      <c r="Q21" s="16">
        <f>Q22+Q23+Q27+Q28</f>
        <v>3639.25</v>
      </c>
      <c r="R21" s="16">
        <f>R22+R23+O27+O28</f>
        <v>3893.6238729292536</v>
      </c>
      <c r="S21" s="16">
        <f>S22+S23+S27+S28</f>
        <v>2467.6820368281383</v>
      </c>
      <c r="T21" s="16">
        <f>T22+T23+S27+S28</f>
        <v>2812.9320368281383</v>
      </c>
      <c r="U21" s="16">
        <f>U22+U23+U27+U28</f>
        <v>2888.67</v>
      </c>
      <c r="V21" s="16">
        <f>V22+V23+S27+S28</f>
        <v>3149.4020368281385</v>
      </c>
      <c r="W21" s="16">
        <f>W22+W23+W27+W28</f>
        <v>2232.5311168308017</v>
      </c>
      <c r="X21" s="16">
        <f>X22+X23+W27+W28</f>
        <v>2577.7811168308017</v>
      </c>
      <c r="Y21" s="16">
        <f>Y22+Y23+Y27+Y28</f>
        <v>2650.94</v>
      </c>
      <c r="Z21" s="16">
        <f>Z22+Z23+W27+W28</f>
        <v>2914.2511168308015</v>
      </c>
    </row>
    <row r="22" spans="1:26" ht="27" customHeight="1" thickBot="1">
      <c r="A22" s="854" t="s">
        <v>226</v>
      </c>
      <c r="B22" s="855"/>
      <c r="C22" s="487">
        <f>ком!H33</f>
        <v>5880.07</v>
      </c>
      <c r="D22" s="487">
        <f>C22</f>
        <v>5880.07</v>
      </c>
      <c r="E22" s="487">
        <f>C22</f>
        <v>5880.07</v>
      </c>
      <c r="F22" s="488">
        <f>C22</f>
        <v>5880.07</v>
      </c>
      <c r="G22" s="487">
        <f>ком!I33</f>
        <v>4017.53</v>
      </c>
      <c r="H22" s="487">
        <f>G22</f>
        <v>4017.53</v>
      </c>
      <c r="I22" s="487">
        <f>G22</f>
        <v>4017.53</v>
      </c>
      <c r="J22" s="488">
        <f>G22</f>
        <v>4017.53</v>
      </c>
      <c r="K22" s="487">
        <f>ком!J33</f>
        <v>3556.45</v>
      </c>
      <c r="L22" s="487">
        <f>K22</f>
        <v>3556.45</v>
      </c>
      <c r="M22" s="487">
        <f>K22</f>
        <v>3556.45</v>
      </c>
      <c r="N22" s="488">
        <f>K22</f>
        <v>3556.45</v>
      </c>
      <c r="O22" s="487">
        <f>ком!K33</f>
        <v>2737.71</v>
      </c>
      <c r="P22" s="487">
        <f>O22</f>
        <v>2737.71</v>
      </c>
      <c r="Q22" s="487">
        <f>O22</f>
        <v>2737.71</v>
      </c>
      <c r="R22" s="488">
        <f>O22</f>
        <v>2737.71</v>
      </c>
      <c r="S22" s="487">
        <f>ком!L33</f>
        <v>1987.13</v>
      </c>
      <c r="T22" s="487">
        <f>S22</f>
        <v>1987.13</v>
      </c>
      <c r="U22" s="487">
        <f>S22</f>
        <v>1987.13</v>
      </c>
      <c r="V22" s="488">
        <f>S22</f>
        <v>1987.13</v>
      </c>
      <c r="W22" s="487">
        <f>ком!M33</f>
        <v>1749.4</v>
      </c>
      <c r="X22" s="487">
        <f>W22</f>
        <v>1749.4</v>
      </c>
      <c r="Y22" s="487">
        <f>W22</f>
        <v>1749.4</v>
      </c>
      <c r="Z22" s="488">
        <f>W22</f>
        <v>1749.4</v>
      </c>
    </row>
    <row r="23" spans="1:26" ht="12.75" customHeight="1">
      <c r="A23" s="856" t="s">
        <v>227</v>
      </c>
      <c r="B23" s="857"/>
      <c r="C23" s="489">
        <f>передача!F7</f>
        <v>375</v>
      </c>
      <c r="D23" s="489">
        <f>передача!F8</f>
        <v>720.25</v>
      </c>
      <c r="E23" s="489">
        <f>передача!F9</f>
        <v>901.54</v>
      </c>
      <c r="F23" s="490">
        <f>передача!F10</f>
        <v>1056.72</v>
      </c>
      <c r="G23" s="489">
        <f t="shared" ref="G23:Z23" si="1">C23</f>
        <v>375</v>
      </c>
      <c r="H23" s="489">
        <f t="shared" si="1"/>
        <v>720.25</v>
      </c>
      <c r="I23" s="489">
        <f t="shared" si="1"/>
        <v>901.54</v>
      </c>
      <c r="J23" s="489">
        <f t="shared" si="1"/>
        <v>1056.72</v>
      </c>
      <c r="K23" s="489">
        <f t="shared" si="1"/>
        <v>375</v>
      </c>
      <c r="L23" s="489">
        <f t="shared" si="1"/>
        <v>720.25</v>
      </c>
      <c r="M23" s="489">
        <f t="shared" si="1"/>
        <v>901.54</v>
      </c>
      <c r="N23" s="489">
        <f t="shared" si="1"/>
        <v>1056.72</v>
      </c>
      <c r="O23" s="489">
        <f t="shared" si="1"/>
        <v>375</v>
      </c>
      <c r="P23" s="489">
        <f t="shared" si="1"/>
        <v>720.25</v>
      </c>
      <c r="Q23" s="489">
        <f t="shared" si="1"/>
        <v>901.54</v>
      </c>
      <c r="R23" s="489">
        <f t="shared" si="1"/>
        <v>1056.72</v>
      </c>
      <c r="S23" s="489">
        <f t="shared" si="1"/>
        <v>375</v>
      </c>
      <c r="T23" s="489">
        <f t="shared" si="1"/>
        <v>720.25</v>
      </c>
      <c r="U23" s="489">
        <f t="shared" si="1"/>
        <v>901.54</v>
      </c>
      <c r="V23" s="489">
        <f t="shared" si="1"/>
        <v>1056.72</v>
      </c>
      <c r="W23" s="489">
        <f t="shared" si="1"/>
        <v>375</v>
      </c>
      <c r="X23" s="489">
        <f t="shared" si="1"/>
        <v>720.25</v>
      </c>
      <c r="Y23" s="489">
        <f t="shared" si="1"/>
        <v>901.54</v>
      </c>
      <c r="Z23" s="489">
        <f t="shared" si="1"/>
        <v>1056.72</v>
      </c>
    </row>
    <row r="24" spans="1:26" ht="12.75">
      <c r="A24" s="850" t="s">
        <v>228</v>
      </c>
      <c r="B24" s="851"/>
      <c r="C24" s="842">
        <f>сн!F22*1000</f>
        <v>206.6253666096369</v>
      </c>
      <c r="D24" s="843"/>
      <c r="E24" s="843"/>
      <c r="F24" s="844"/>
      <c r="G24" s="842">
        <f>сн!F25*1000</f>
        <v>203.67080082786123</v>
      </c>
      <c r="H24" s="843"/>
      <c r="I24" s="843"/>
      <c r="J24" s="844"/>
      <c r="K24" s="842">
        <f>сн!F28*1000</f>
        <v>269.04803670213113</v>
      </c>
      <c r="L24" s="843"/>
      <c r="M24" s="843"/>
      <c r="N24" s="844"/>
      <c r="O24" s="842">
        <f>сн!F31*1000</f>
        <v>299.84314867041468</v>
      </c>
      <c r="P24" s="843"/>
      <c r="Q24" s="843"/>
      <c r="R24" s="844"/>
      <c r="S24" s="842">
        <f>сн!F34*1000</f>
        <v>319.73831602024927</v>
      </c>
      <c r="T24" s="843"/>
      <c r="U24" s="843"/>
      <c r="V24" s="844"/>
      <c r="W24" s="842">
        <f>сн!F37*1000</f>
        <v>327.80844901424155</v>
      </c>
      <c r="X24" s="843"/>
      <c r="Y24" s="843"/>
      <c r="Z24" s="844"/>
    </row>
    <row r="25" spans="1:26" ht="12.75" customHeight="1">
      <c r="A25" s="850" t="s">
        <v>191</v>
      </c>
      <c r="B25" s="851"/>
      <c r="C25" s="842">
        <f>сн!G22*1000</f>
        <v>194.57222022407475</v>
      </c>
      <c r="D25" s="843"/>
      <c r="E25" s="843"/>
      <c r="F25" s="844"/>
      <c r="G25" s="842">
        <f>сн!G25*1000</f>
        <v>191.79000411290266</v>
      </c>
      <c r="H25" s="843"/>
      <c r="I25" s="843"/>
      <c r="J25" s="844"/>
      <c r="K25" s="842">
        <f>сн!G28*1000</f>
        <v>253.3535678945068</v>
      </c>
      <c r="L25" s="843"/>
      <c r="M25" s="843"/>
      <c r="N25" s="844"/>
      <c r="O25" s="842">
        <f>сн!G31*1000</f>
        <v>282.35229833130717</v>
      </c>
      <c r="P25" s="843"/>
      <c r="Q25" s="843"/>
      <c r="R25" s="844"/>
      <c r="S25" s="842">
        <f>сн!G34*1000</f>
        <v>301.08691425240141</v>
      </c>
      <c r="T25" s="843"/>
      <c r="U25" s="843"/>
      <c r="V25" s="844"/>
      <c r="W25" s="842">
        <f>сн!G37*1000</f>
        <v>308.68628948841081</v>
      </c>
      <c r="X25" s="843"/>
      <c r="Y25" s="843"/>
      <c r="Z25" s="844"/>
    </row>
    <row r="26" spans="1:26" ht="12.75" customHeight="1">
      <c r="A26" s="850" t="s">
        <v>158</v>
      </c>
      <c r="B26" s="851"/>
      <c r="C26" s="842">
        <f>сн!H22*1000</f>
        <v>123.54475045201205</v>
      </c>
      <c r="D26" s="843"/>
      <c r="E26" s="843"/>
      <c r="F26" s="844"/>
      <c r="G26" s="842">
        <f>сн!H25*1000</f>
        <v>121.77816632832536</v>
      </c>
      <c r="H26" s="843"/>
      <c r="I26" s="843"/>
      <c r="J26" s="844"/>
      <c r="K26" s="842">
        <f>сн!H28*1000</f>
        <v>160.86830527814925</v>
      </c>
      <c r="L26" s="843"/>
      <c r="M26" s="843"/>
      <c r="N26" s="844"/>
      <c r="O26" s="842">
        <f>сн!H31*1000</f>
        <v>179.28121597585209</v>
      </c>
      <c r="P26" s="843"/>
      <c r="Q26" s="843"/>
      <c r="R26" s="844"/>
      <c r="S26" s="842">
        <f>сн!H34*1000</f>
        <v>191.17686812044067</v>
      </c>
      <c r="T26" s="843"/>
      <c r="U26" s="843"/>
      <c r="V26" s="844"/>
      <c r="W26" s="842">
        <f>сн!H37*1000</f>
        <v>196.00213513976527</v>
      </c>
      <c r="X26" s="843"/>
      <c r="Y26" s="843"/>
      <c r="Z26" s="844"/>
    </row>
    <row r="27" spans="1:26" ht="12.75" customHeight="1">
      <c r="A27" s="850" t="s">
        <v>159</v>
      </c>
      <c r="B27" s="851"/>
      <c r="C27" s="842">
        <f>сн!I22*1000</f>
        <v>66.034023412329788</v>
      </c>
      <c r="D27" s="843"/>
      <c r="E27" s="843"/>
      <c r="F27" s="844"/>
      <c r="G27" s="842">
        <f>сн!I25*1000</f>
        <v>65.089793431237325</v>
      </c>
      <c r="H27" s="843"/>
      <c r="I27" s="843"/>
      <c r="J27" s="844"/>
      <c r="K27" s="842">
        <f>сн!I28*1000</f>
        <v>85.983268396056076</v>
      </c>
      <c r="L27" s="843"/>
      <c r="M27" s="843"/>
      <c r="N27" s="844"/>
      <c r="O27" s="842">
        <f>сн!I31*1000</f>
        <v>95.82487292925336</v>
      </c>
      <c r="P27" s="843"/>
      <c r="Q27" s="843"/>
      <c r="R27" s="844"/>
      <c r="S27" s="842">
        <f>сн!I34*1000</f>
        <v>102.183036828138</v>
      </c>
      <c r="T27" s="843"/>
      <c r="U27" s="843"/>
      <c r="V27" s="844"/>
      <c r="W27" s="842">
        <f>сн!I37*1000</f>
        <v>104.76211683080138</v>
      </c>
      <c r="X27" s="843"/>
      <c r="Y27" s="843"/>
      <c r="Z27" s="844"/>
    </row>
    <row r="28" spans="1:26" ht="13.5" customHeight="1" thickBot="1">
      <c r="A28" s="852" t="s">
        <v>229</v>
      </c>
      <c r="B28" s="853"/>
      <c r="C28" s="845">
        <f>инфраструктура!W22*1000</f>
        <v>3.3690000000000002</v>
      </c>
      <c r="D28" s="845"/>
      <c r="E28" s="845"/>
      <c r="F28" s="846"/>
      <c r="G28" s="845">
        <f>C28</f>
        <v>3.3690000000000002</v>
      </c>
      <c r="H28" s="845"/>
      <c r="I28" s="845"/>
      <c r="J28" s="846"/>
      <c r="K28" s="845">
        <f>G28</f>
        <v>3.3690000000000002</v>
      </c>
      <c r="L28" s="845"/>
      <c r="M28" s="845"/>
      <c r="N28" s="846"/>
      <c r="O28" s="845">
        <f>K28</f>
        <v>3.3690000000000002</v>
      </c>
      <c r="P28" s="845"/>
      <c r="Q28" s="845"/>
      <c r="R28" s="846"/>
      <c r="S28" s="845">
        <f>O28</f>
        <v>3.3690000000000002</v>
      </c>
      <c r="T28" s="845"/>
      <c r="U28" s="845"/>
      <c r="V28" s="846"/>
      <c r="W28" s="845">
        <f>S28</f>
        <v>3.3690000000000002</v>
      </c>
      <c r="X28" s="845"/>
      <c r="Y28" s="845"/>
      <c r="Z28" s="846"/>
    </row>
    <row r="29" spans="1:26">
      <c r="A29" s="10" t="s">
        <v>30</v>
      </c>
    </row>
  </sheetData>
  <mergeCells count="89">
    <mergeCell ref="C15:F15"/>
    <mergeCell ref="A16:B17"/>
    <mergeCell ref="C16:F16"/>
    <mergeCell ref="A15:B15"/>
    <mergeCell ref="A2:Z2"/>
    <mergeCell ref="A3:B4"/>
    <mergeCell ref="C3:F3"/>
    <mergeCell ref="G3:J3"/>
    <mergeCell ref="K3:N3"/>
    <mergeCell ref="O3:R3"/>
    <mergeCell ref="S3:V3"/>
    <mergeCell ref="W3:Z3"/>
    <mergeCell ref="A14:B14"/>
    <mergeCell ref="C11:F11"/>
    <mergeCell ref="C12:F12"/>
    <mergeCell ref="C13:F13"/>
    <mergeCell ref="C14:F14"/>
    <mergeCell ref="A9:B9"/>
    <mergeCell ref="A10:B10"/>
    <mergeCell ref="A11:B11"/>
    <mergeCell ref="A12:B12"/>
    <mergeCell ref="A13:B13"/>
    <mergeCell ref="A22:B22"/>
    <mergeCell ref="A23:B23"/>
    <mergeCell ref="A24:B24"/>
    <mergeCell ref="C24:F24"/>
    <mergeCell ref="A26:B26"/>
    <mergeCell ref="C26:F26"/>
    <mergeCell ref="A25:B25"/>
    <mergeCell ref="C25:F25"/>
    <mergeCell ref="A27:B27"/>
    <mergeCell ref="C27:F27"/>
    <mergeCell ref="A28:B28"/>
    <mergeCell ref="C28:F28"/>
    <mergeCell ref="K11:N11"/>
    <mergeCell ref="K12:N12"/>
    <mergeCell ref="K13:N13"/>
    <mergeCell ref="K14:N14"/>
    <mergeCell ref="K15:N15"/>
    <mergeCell ref="G11:J11"/>
    <mergeCell ref="G12:J12"/>
    <mergeCell ref="G13:J13"/>
    <mergeCell ref="G14:J14"/>
    <mergeCell ref="G15:J15"/>
    <mergeCell ref="G26:J26"/>
    <mergeCell ref="K26:N26"/>
    <mergeCell ref="O11:R11"/>
    <mergeCell ref="S11:V11"/>
    <mergeCell ref="W11:Z11"/>
    <mergeCell ref="O12:R12"/>
    <mergeCell ref="S12:V12"/>
    <mergeCell ref="W12:Z12"/>
    <mergeCell ref="O13:R13"/>
    <mergeCell ref="S13:V13"/>
    <mergeCell ref="W13:Z13"/>
    <mergeCell ref="O14:R14"/>
    <mergeCell ref="S14:V14"/>
    <mergeCell ref="W14:Z14"/>
    <mergeCell ref="O15:R15"/>
    <mergeCell ref="S15:V15"/>
    <mergeCell ref="W15:Z15"/>
    <mergeCell ref="G24:J24"/>
    <mergeCell ref="K24:N24"/>
    <mergeCell ref="O24:R24"/>
    <mergeCell ref="S24:V24"/>
    <mergeCell ref="W24:Z24"/>
    <mergeCell ref="W16:Z16"/>
    <mergeCell ref="G16:J16"/>
    <mergeCell ref="K16:N16"/>
    <mergeCell ref="O16:R16"/>
    <mergeCell ref="S16:V16"/>
    <mergeCell ref="O26:R26"/>
    <mergeCell ref="S26:V26"/>
    <mergeCell ref="W26:Z26"/>
    <mergeCell ref="G25:J25"/>
    <mergeCell ref="K25:N25"/>
    <mergeCell ref="O25:R25"/>
    <mergeCell ref="S25:V25"/>
    <mergeCell ref="W25:Z25"/>
    <mergeCell ref="G28:J28"/>
    <mergeCell ref="K28:N28"/>
    <mergeCell ref="O28:R28"/>
    <mergeCell ref="S28:V28"/>
    <mergeCell ref="W28:Z28"/>
    <mergeCell ref="G27:J27"/>
    <mergeCell ref="K27:N27"/>
    <mergeCell ref="O27:R27"/>
    <mergeCell ref="S27:V27"/>
    <mergeCell ref="W27:Z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AW49"/>
  <sheetViews>
    <sheetView zoomScale="70" zoomScaleNormal="70" workbookViewId="0">
      <selection activeCell="E49" sqref="E49"/>
    </sheetView>
  </sheetViews>
  <sheetFormatPr defaultRowHeight="15"/>
  <cols>
    <col min="1" max="1" width="17" customWidth="1"/>
    <col min="2" max="2" width="18.7109375" customWidth="1"/>
    <col min="3" max="3" width="18.140625" customWidth="1"/>
    <col min="4" max="4" width="17.42578125" customWidth="1"/>
    <col min="5" max="5" width="19" customWidth="1"/>
    <col min="6" max="13" width="17.140625" bestFit="1" customWidth="1"/>
    <col min="14" max="24" width="3.28515625" customWidth="1"/>
    <col min="25" max="36" width="12" bestFit="1" customWidth="1"/>
    <col min="37" max="40" width="13.85546875" bestFit="1" customWidth="1"/>
    <col min="41" max="41" width="15.42578125" customWidth="1"/>
    <col min="42" max="42" width="14" customWidth="1"/>
    <col min="43" max="45" width="14" bestFit="1" customWidth="1"/>
    <col min="46" max="46" width="13.5703125" customWidth="1"/>
    <col min="47" max="48" width="13.42578125" bestFit="1" customWidth="1"/>
  </cols>
  <sheetData>
    <row r="2" spans="1:49">
      <c r="D2" t="s">
        <v>37</v>
      </c>
    </row>
    <row r="5" spans="1:49" ht="12.75" customHeight="1">
      <c r="A5" s="863" t="s">
        <v>38</v>
      </c>
      <c r="B5" s="864"/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5" t="s">
        <v>39</v>
      </c>
      <c r="N5" s="866"/>
      <c r="O5" s="866"/>
      <c r="P5" s="866"/>
      <c r="Q5" s="866"/>
      <c r="R5" s="866"/>
      <c r="S5" s="866"/>
      <c r="T5" s="866"/>
      <c r="U5" s="866"/>
      <c r="V5" s="866"/>
      <c r="W5" s="866"/>
      <c r="X5" s="866"/>
      <c r="Y5" s="865" t="s">
        <v>40</v>
      </c>
      <c r="Z5" s="866"/>
      <c r="AA5" s="866"/>
      <c r="AB5" s="866"/>
      <c r="AC5" s="866"/>
      <c r="AD5" s="866"/>
      <c r="AE5" s="866"/>
      <c r="AF5" s="866"/>
      <c r="AG5" s="866"/>
      <c r="AH5" s="866"/>
      <c r="AI5" s="866"/>
      <c r="AJ5" s="867"/>
      <c r="AK5" s="865" t="s">
        <v>41</v>
      </c>
      <c r="AL5" s="866"/>
      <c r="AM5" s="866"/>
      <c r="AN5" s="866"/>
      <c r="AO5" s="866"/>
      <c r="AP5" s="866"/>
      <c r="AQ5" s="866"/>
      <c r="AR5" s="866"/>
      <c r="AS5" s="866"/>
      <c r="AT5" s="866"/>
      <c r="AU5" s="866"/>
      <c r="AV5" s="866"/>
    </row>
    <row r="6" spans="1:49">
      <c r="A6" s="32">
        <v>42370</v>
      </c>
      <c r="B6" s="32">
        <v>42401</v>
      </c>
      <c r="C6" s="32">
        <v>42430</v>
      </c>
      <c r="D6" s="32">
        <v>42461</v>
      </c>
      <c r="E6" s="32">
        <v>42491</v>
      </c>
      <c r="F6" s="32">
        <v>42522</v>
      </c>
      <c r="G6" s="32">
        <v>42552</v>
      </c>
      <c r="H6" s="32">
        <v>42583</v>
      </c>
      <c r="I6" s="32">
        <v>42614</v>
      </c>
      <c r="J6" s="32">
        <v>42644</v>
      </c>
      <c r="K6" s="32">
        <v>42675</v>
      </c>
      <c r="L6" s="32">
        <v>42705</v>
      </c>
      <c r="M6" s="32">
        <v>42370</v>
      </c>
      <c r="N6" s="32">
        <v>42401</v>
      </c>
      <c r="O6" s="32">
        <v>42430</v>
      </c>
      <c r="P6" s="32">
        <v>42461</v>
      </c>
      <c r="Q6" s="32">
        <v>42491</v>
      </c>
      <c r="R6" s="32">
        <v>42522</v>
      </c>
      <c r="S6" s="32">
        <v>42552</v>
      </c>
      <c r="T6" s="32">
        <v>42583</v>
      </c>
      <c r="U6" s="32">
        <v>42614</v>
      </c>
      <c r="V6" s="32">
        <v>42644</v>
      </c>
      <c r="W6" s="32">
        <v>42675</v>
      </c>
      <c r="X6" s="32">
        <v>42705</v>
      </c>
      <c r="Y6" s="32">
        <v>42370</v>
      </c>
      <c r="Z6" s="32">
        <v>42401</v>
      </c>
      <c r="AA6" s="32">
        <v>42430</v>
      </c>
      <c r="AB6" s="32">
        <v>42461</v>
      </c>
      <c r="AC6" s="32">
        <v>42491</v>
      </c>
      <c r="AD6" s="32">
        <v>42522</v>
      </c>
      <c r="AE6" s="32">
        <v>42552</v>
      </c>
      <c r="AF6" s="32">
        <v>42583</v>
      </c>
      <c r="AG6" s="32">
        <v>42614</v>
      </c>
      <c r="AH6" s="32">
        <v>42644</v>
      </c>
      <c r="AI6" s="32">
        <v>42675</v>
      </c>
      <c r="AJ6" s="32">
        <v>42705</v>
      </c>
      <c r="AK6" s="32">
        <v>42370</v>
      </c>
      <c r="AL6" s="32">
        <v>42401</v>
      </c>
      <c r="AM6" s="32">
        <v>42430</v>
      </c>
      <c r="AN6" s="32">
        <v>42461</v>
      </c>
      <c r="AO6" s="32">
        <v>42491</v>
      </c>
      <c r="AP6" s="32">
        <v>42522</v>
      </c>
      <c r="AQ6" s="32">
        <v>42552</v>
      </c>
      <c r="AR6" s="32">
        <v>42583</v>
      </c>
      <c r="AS6" s="32">
        <v>42614</v>
      </c>
      <c r="AT6" s="32">
        <v>42644</v>
      </c>
      <c r="AU6" s="32">
        <v>42675</v>
      </c>
      <c r="AV6" s="32">
        <v>42705</v>
      </c>
    </row>
    <row r="7" spans="1:49" s="33" customFormat="1">
      <c r="A7" s="491">
        <f>'покупка опт 2016'!F32</f>
        <v>116.45166155676539</v>
      </c>
      <c r="B7" s="491">
        <f>'покупка опт 2016'!F33</f>
        <v>115.15061771124036</v>
      </c>
      <c r="C7" s="491">
        <f>'покупка опт 2016'!F34</f>
        <v>115.04329541627219</v>
      </c>
      <c r="D7" s="491">
        <f>'покупка опт 2016'!F36</f>
        <v>140.08901913972119</v>
      </c>
      <c r="E7" s="491">
        <f>'покупка опт 2016'!F37</f>
        <v>154.67015164959409</v>
      </c>
      <c r="F7" s="491">
        <f>'покупка опт 2016'!F38</f>
        <v>165.82962853944872</v>
      </c>
      <c r="G7" s="491">
        <f>'покупка опт 2016'!F40</f>
        <v>172.63908426264351</v>
      </c>
      <c r="H7" s="491">
        <f>'покупка опт 2016'!F41</f>
        <v>168.8294152063319</v>
      </c>
      <c r="I7" s="491">
        <f>'покупка опт 2016'!F42</f>
        <v>176.58015269443601</v>
      </c>
      <c r="J7" s="491">
        <f>'покупка опт 2016'!F44</f>
        <v>163.41380505845743</v>
      </c>
      <c r="K7" s="491">
        <f>'покупка опт 2016'!F45</f>
        <v>118.16247330503657</v>
      </c>
      <c r="L7" s="491">
        <f>'покупка опт 2016'!F46</f>
        <v>107.46911404723345</v>
      </c>
      <c r="M7" s="492">
        <v>0</v>
      </c>
      <c r="N7" s="492">
        <v>0</v>
      </c>
      <c r="O7" s="492">
        <v>0</v>
      </c>
      <c r="P7" s="492">
        <v>0</v>
      </c>
      <c r="Q7" s="492">
        <v>0</v>
      </c>
      <c r="R7" s="492">
        <v>0</v>
      </c>
      <c r="S7" s="492">
        <v>0</v>
      </c>
      <c r="T7" s="492">
        <v>0</v>
      </c>
      <c r="U7" s="492">
        <v>0</v>
      </c>
      <c r="V7" s="492">
        <v>0</v>
      </c>
      <c r="W7" s="492">
        <v>0</v>
      </c>
      <c r="X7" s="492">
        <v>0</v>
      </c>
      <c r="Y7" s="595">
        <f>передача!AD28</f>
        <v>52.735524459509776</v>
      </c>
      <c r="Z7" s="595">
        <f>передача!AD29</f>
        <v>53.825867681629688</v>
      </c>
      <c r="AA7" s="595">
        <f>передача!AD30</f>
        <v>53.284058845767007</v>
      </c>
      <c r="AB7" s="595">
        <f>передача!AD32</f>
        <v>62.891474606511757</v>
      </c>
      <c r="AC7" s="595">
        <f>передача!AD33</f>
        <v>69.479470901036706</v>
      </c>
      <c r="AD7" s="595">
        <f>передача!AD34</f>
        <v>70.085857956197017</v>
      </c>
      <c r="AE7" s="595">
        <f>передача!AD36</f>
        <v>75.08612630682795</v>
      </c>
      <c r="AF7" s="595">
        <f>передача!AD37</f>
        <v>75.85086640786129</v>
      </c>
      <c r="AG7" s="595">
        <f>передача!AD38</f>
        <v>85.243919753575554</v>
      </c>
      <c r="AH7" s="595">
        <f>передача!AD40</f>
        <v>85.250010940797154</v>
      </c>
      <c r="AI7" s="595">
        <f>передача!AD41</f>
        <v>62.014760532802157</v>
      </c>
      <c r="AJ7" s="595">
        <f>передача!AD42</f>
        <v>53.241504761203615</v>
      </c>
      <c r="AK7" s="595">
        <f>мощность!C29+мощность!C31</f>
        <v>18.359673208</v>
      </c>
      <c r="AL7" s="595">
        <f>мощность!D29+мощность!D31</f>
        <v>17.295442080000001</v>
      </c>
      <c r="AM7" s="595">
        <f>мощность!E29+мощность!E31</f>
        <v>16.906697740000006</v>
      </c>
      <c r="AN7" s="595">
        <f>мощность!G29+мощность!G31</f>
        <v>12.061231859999998</v>
      </c>
      <c r="AO7" s="595">
        <f>мощность!H29+мощность!H31</f>
        <v>9.3811367200000007</v>
      </c>
      <c r="AP7" s="595">
        <f>мощность!I29+мощность!I31</f>
        <v>12.355616379999999</v>
      </c>
      <c r="AQ7" s="595">
        <f>мощность!K29+мощность!K31</f>
        <v>10.091682099999998</v>
      </c>
      <c r="AR7" s="595">
        <f>мощность!L29+мощность!L31</f>
        <v>8.9237072600000005</v>
      </c>
      <c r="AS7" s="595">
        <f>мощность!M29+мощность!M31</f>
        <v>10.90234216</v>
      </c>
      <c r="AT7" s="595">
        <f>мощность!O29+мощность!O31</f>
        <v>11.926338039999999</v>
      </c>
      <c r="AU7" s="595">
        <f>мощность!P29+мощность!P31</f>
        <v>12.959800239999998</v>
      </c>
      <c r="AV7" s="595">
        <f>мощность!Q29+мощность!Q31</f>
        <v>18.615834419999999</v>
      </c>
      <c r="AW7" s="493"/>
    </row>
    <row r="8" spans="1:49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3"/>
      <c r="Z8" s="493"/>
      <c r="AA8" s="493"/>
      <c r="AB8" s="493"/>
      <c r="AC8" s="493"/>
      <c r="AD8" s="493"/>
      <c r="AE8" s="493"/>
      <c r="AF8" s="493"/>
      <c r="AG8" s="493"/>
      <c r="AH8" s="494"/>
      <c r="AI8" s="494"/>
      <c r="AJ8" s="494"/>
      <c r="AK8" s="493"/>
      <c r="AL8" s="493"/>
      <c r="AM8" s="493"/>
      <c r="AN8" s="493"/>
      <c r="AO8" s="493"/>
      <c r="AP8" s="493"/>
      <c r="AQ8" s="493"/>
      <c r="AR8" s="493"/>
      <c r="AS8" s="493"/>
      <c r="AT8" s="494"/>
      <c r="AU8" s="494"/>
      <c r="AV8" s="494"/>
      <c r="AW8" s="494"/>
    </row>
    <row r="9" spans="1:49" ht="12.75" customHeight="1">
      <c r="A9" s="863" t="s">
        <v>42</v>
      </c>
      <c r="B9" s="864"/>
      <c r="C9" s="864"/>
      <c r="D9" s="864"/>
      <c r="E9" s="864"/>
      <c r="F9" s="864"/>
      <c r="G9" s="864"/>
      <c r="H9" s="864"/>
      <c r="I9" s="864"/>
      <c r="J9" s="864"/>
      <c r="K9" s="864"/>
      <c r="L9" s="864"/>
      <c r="M9" s="868" t="s">
        <v>43</v>
      </c>
      <c r="N9" s="869"/>
      <c r="O9" s="869"/>
      <c r="P9" s="869"/>
      <c r="Q9" s="869"/>
      <c r="R9" s="869"/>
      <c r="S9" s="869"/>
      <c r="T9" s="869"/>
      <c r="U9" s="869"/>
      <c r="V9" s="869"/>
      <c r="W9" s="869"/>
      <c r="X9" s="869"/>
      <c r="Y9" s="868" t="s">
        <v>44</v>
      </c>
      <c r="Z9" s="869"/>
      <c r="AA9" s="869"/>
      <c r="AB9" s="869"/>
      <c r="AC9" s="869"/>
      <c r="AD9" s="869"/>
      <c r="AE9" s="869"/>
      <c r="AF9" s="869"/>
      <c r="AG9" s="869"/>
      <c r="AH9" s="869"/>
      <c r="AI9" s="869"/>
      <c r="AJ9" s="870"/>
      <c r="AK9" s="871" t="s">
        <v>45</v>
      </c>
      <c r="AL9" s="872"/>
      <c r="AM9" s="872"/>
      <c r="AN9" s="872"/>
      <c r="AO9" s="872"/>
      <c r="AP9" s="872"/>
      <c r="AQ9" s="872"/>
      <c r="AR9" s="872"/>
      <c r="AS9" s="872"/>
      <c r="AT9" s="872"/>
      <c r="AU9" s="872"/>
      <c r="AV9" s="872"/>
      <c r="AW9" s="494"/>
    </row>
    <row r="10" spans="1:49" ht="12.75" customHeight="1">
      <c r="A10" s="32">
        <v>42370</v>
      </c>
      <c r="B10" s="32">
        <v>42401</v>
      </c>
      <c r="C10" s="32">
        <v>42430</v>
      </c>
      <c r="D10" s="32">
        <v>42461</v>
      </c>
      <c r="E10" s="32">
        <v>42491</v>
      </c>
      <c r="F10" s="32">
        <v>42522</v>
      </c>
      <c r="G10" s="32">
        <v>42552</v>
      </c>
      <c r="H10" s="32">
        <v>42583</v>
      </c>
      <c r="I10" s="32">
        <v>42614</v>
      </c>
      <c r="J10" s="32">
        <v>42644</v>
      </c>
      <c r="K10" s="32">
        <v>42675</v>
      </c>
      <c r="L10" s="32">
        <v>42705</v>
      </c>
      <c r="M10" s="495">
        <v>42370</v>
      </c>
      <c r="N10" s="495">
        <v>42401</v>
      </c>
      <c r="O10" s="495">
        <v>42430</v>
      </c>
      <c r="P10" s="495">
        <v>42461</v>
      </c>
      <c r="Q10" s="495">
        <v>42491</v>
      </c>
      <c r="R10" s="495">
        <v>42522</v>
      </c>
      <c r="S10" s="495">
        <v>42552</v>
      </c>
      <c r="T10" s="495">
        <v>42583</v>
      </c>
      <c r="U10" s="495">
        <v>42614</v>
      </c>
      <c r="V10" s="495">
        <v>42644</v>
      </c>
      <c r="W10" s="495">
        <v>42675</v>
      </c>
      <c r="X10" s="495">
        <v>42705</v>
      </c>
      <c r="Y10" s="495">
        <v>42370</v>
      </c>
      <c r="Z10" s="495">
        <v>42401</v>
      </c>
      <c r="AA10" s="495">
        <v>42430</v>
      </c>
      <c r="AB10" s="495">
        <v>42461</v>
      </c>
      <c r="AC10" s="495">
        <v>42491</v>
      </c>
      <c r="AD10" s="495">
        <v>42522</v>
      </c>
      <c r="AE10" s="495">
        <v>42552</v>
      </c>
      <c r="AF10" s="495">
        <v>42583</v>
      </c>
      <c r="AG10" s="495">
        <v>42614</v>
      </c>
      <c r="AH10" s="495">
        <v>42644</v>
      </c>
      <c r="AI10" s="495">
        <v>42675</v>
      </c>
      <c r="AJ10" s="495">
        <v>42705</v>
      </c>
      <c r="AK10" s="495">
        <v>42370</v>
      </c>
      <c r="AL10" s="495">
        <v>42401</v>
      </c>
      <c r="AM10" s="495">
        <v>42430</v>
      </c>
      <c r="AN10" s="495">
        <v>42461</v>
      </c>
      <c r="AO10" s="495">
        <v>42491</v>
      </c>
      <c r="AP10" s="495">
        <v>42522</v>
      </c>
      <c r="AQ10" s="495">
        <v>42552</v>
      </c>
      <c r="AR10" s="495">
        <v>42583</v>
      </c>
      <c r="AS10" s="495">
        <v>42614</v>
      </c>
      <c r="AT10" s="495">
        <v>42644</v>
      </c>
      <c r="AU10" s="495">
        <v>42675</v>
      </c>
      <c r="AV10" s="495">
        <v>42705</v>
      </c>
      <c r="AW10" s="494"/>
    </row>
    <row r="11" spans="1:49" ht="12.75" customHeight="1">
      <c r="A11" s="251">
        <f>баланс!T7</f>
        <v>61313.382905999308</v>
      </c>
      <c r="B11" s="251">
        <f>баланс!T8</f>
        <v>56310.210705363781</v>
      </c>
      <c r="C11" s="251">
        <f>баланс!T9</f>
        <v>54967.739636307189</v>
      </c>
      <c r="D11" s="251">
        <f>баланс!T11</f>
        <v>57806.783471686562</v>
      </c>
      <c r="E11" s="251">
        <f>баланс!T12</f>
        <v>63988.221299143574</v>
      </c>
      <c r="F11" s="251">
        <f>баланс!T13</f>
        <v>62656.288612644465</v>
      </c>
      <c r="G11" s="251">
        <f>баланс!T16</f>
        <v>65631.006968708622</v>
      </c>
      <c r="H11" s="251">
        <f>баланс!T17</f>
        <v>67791.824401385107</v>
      </c>
      <c r="I11" s="251">
        <f>баланс!T18</f>
        <v>72638.738677993999</v>
      </c>
      <c r="J11" s="251">
        <f>баланс!T21</f>
        <v>80461.501852914662</v>
      </c>
      <c r="K11" s="251">
        <f>баланс!T22</f>
        <v>60915.835346592961</v>
      </c>
      <c r="L11" s="251">
        <f>баланс!T23</f>
        <v>61122.216989613065</v>
      </c>
      <c r="M11" s="496">
        <v>0</v>
      </c>
      <c r="N11" s="497">
        <v>0</v>
      </c>
      <c r="O11" s="497">
        <v>0</v>
      </c>
      <c r="P11" s="497">
        <v>0</v>
      </c>
      <c r="Q11" s="497">
        <v>0</v>
      </c>
      <c r="R11" s="497">
        <v>0</v>
      </c>
      <c r="S11" s="497">
        <v>0</v>
      </c>
      <c r="T11" s="497">
        <v>0</v>
      </c>
      <c r="U11" s="497">
        <v>0</v>
      </c>
      <c r="V11" s="497">
        <v>0</v>
      </c>
      <c r="W11" s="497">
        <v>0</v>
      </c>
      <c r="X11" s="497">
        <v>0</v>
      </c>
      <c r="Y11" s="498">
        <f>передача!S28</f>
        <v>7914.4446040000003</v>
      </c>
      <c r="Z11" s="498">
        <f>передача!S29</f>
        <v>7386.1040400000002</v>
      </c>
      <c r="AA11" s="498">
        <f>передача!S30</f>
        <v>7423.6778700000013</v>
      </c>
      <c r="AB11" s="498">
        <f>передача!S32</f>
        <v>5161.4709299999995</v>
      </c>
      <c r="AC11" s="498">
        <f>передача!S33</f>
        <v>3973.4333100000003</v>
      </c>
      <c r="AD11" s="498">
        <f>передача!S34</f>
        <v>5537.7921899999992</v>
      </c>
      <c r="AE11" s="498">
        <f>передача!S36</f>
        <v>4440.6085499999999</v>
      </c>
      <c r="AF11" s="498">
        <f>передача!S37</f>
        <v>3813.4956299999999</v>
      </c>
      <c r="AG11" s="498">
        <f>передача!S38</f>
        <v>4636.7470800000001</v>
      </c>
      <c r="AH11" s="498">
        <f>передача!S40</f>
        <v>5147.3860199999999</v>
      </c>
      <c r="AI11" s="498">
        <f>передача!S41</f>
        <v>5579.7535499999994</v>
      </c>
      <c r="AJ11" s="498">
        <f>передача!S42</f>
        <v>8239.9802099999997</v>
      </c>
      <c r="AK11" s="596">
        <f>передача!R28</f>
        <v>32516.72085822286</v>
      </c>
      <c r="AL11" s="596">
        <f>передача!R29</f>
        <v>31245.561351004915</v>
      </c>
      <c r="AM11" s="596">
        <f>передача!R30</f>
        <v>32147.112974491363</v>
      </c>
      <c r="AN11" s="596">
        <f>передача!R32</f>
        <v>41373.325193799596</v>
      </c>
      <c r="AO11" s="596">
        <f>передача!R33</f>
        <v>48531.236857175551</v>
      </c>
      <c r="AP11" s="596">
        <f>передача!R34</f>
        <v>47757.456328770772</v>
      </c>
      <c r="AQ11" s="596">
        <f>передача!R36</f>
        <v>53168.194468785128</v>
      </c>
      <c r="AR11" s="596">
        <f>передача!R37</f>
        <v>54187.688347989068</v>
      </c>
      <c r="AS11" s="596">
        <f>передача!R38</f>
        <v>55706.909792681006</v>
      </c>
      <c r="AT11" s="594">
        <f>передача!R40</f>
        <v>58747.523849040241</v>
      </c>
      <c r="AU11" s="594">
        <f>передача!R41</f>
        <v>39463.031858806804</v>
      </c>
      <c r="AV11" s="594">
        <f>передача!R42</f>
        <v>33110.619817202736</v>
      </c>
      <c r="AW11" s="494"/>
    </row>
    <row r="12" spans="1:49">
      <c r="A12" s="644">
        <v>60504.784</v>
      </c>
      <c r="B12" s="644">
        <v>55267.178</v>
      </c>
      <c r="C12" s="644">
        <v>54897.188000000002</v>
      </c>
      <c r="D12" s="644">
        <v>61972.044000000002</v>
      </c>
      <c r="E12" s="644">
        <v>65447.832999999999</v>
      </c>
      <c r="F12" s="644">
        <v>65834.12</v>
      </c>
      <c r="G12" s="644">
        <v>64404.42</v>
      </c>
      <c r="H12" s="644">
        <v>68498.429999999993</v>
      </c>
      <c r="I12" s="644">
        <v>74165.006999999998</v>
      </c>
      <c r="J12" s="644">
        <v>79338.286999999997</v>
      </c>
      <c r="K12" s="645">
        <f>SUM(A12:J12)</f>
        <v>650329.29099999997</v>
      </c>
      <c r="M12" s="494"/>
      <c r="N12" s="494"/>
      <c r="O12" s="494"/>
      <c r="P12" s="494"/>
      <c r="Q12" s="494"/>
      <c r="R12" s="494"/>
      <c r="S12" s="499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494"/>
      <c r="AJ12" s="35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  <c r="AU12" s="494"/>
      <c r="AV12" s="494"/>
      <c r="AW12" s="494"/>
    </row>
    <row r="13" spans="1:49">
      <c r="S13" s="36" t="s">
        <v>46</v>
      </c>
    </row>
    <row r="14" spans="1:49" ht="26.25">
      <c r="F14">
        <f>F7*1000</f>
        <v>165829.62853944872</v>
      </c>
      <c r="I14" s="861" t="s">
        <v>47</v>
      </c>
      <c r="J14" s="861"/>
      <c r="K14" s="38" t="s">
        <v>48</v>
      </c>
      <c r="L14" s="861" t="s">
        <v>49</v>
      </c>
      <c r="M14" s="861"/>
      <c r="N14" s="39" t="s">
        <v>50</v>
      </c>
      <c r="O14" s="861" t="s">
        <v>51</v>
      </c>
      <c r="P14" s="861"/>
      <c r="Q14" s="38" t="s">
        <v>48</v>
      </c>
      <c r="R14" s="861" t="s">
        <v>52</v>
      </c>
      <c r="S14" s="861"/>
      <c r="AP14">
        <f>AP7*1000</f>
        <v>12355.616379999999</v>
      </c>
    </row>
    <row r="15" spans="1:49" ht="18.75" thickBot="1">
      <c r="G15" s="861" t="s">
        <v>53</v>
      </c>
      <c r="H15" s="862" t="s">
        <v>54</v>
      </c>
      <c r="I15" s="41"/>
      <c r="J15" s="41"/>
      <c r="K15" s="42"/>
      <c r="L15" s="41"/>
      <c r="M15" s="41"/>
      <c r="N15" s="42"/>
      <c r="O15" s="41"/>
      <c r="P15" s="43"/>
      <c r="Q15" s="42"/>
      <c r="R15" s="41"/>
      <c r="S15" s="41"/>
    </row>
    <row r="16" spans="1:49" ht="18">
      <c r="F16" s="44">
        <f>F11*1000</f>
        <v>62656288.612644464</v>
      </c>
      <c r="G16" s="861"/>
      <c r="H16" s="862"/>
      <c r="I16" s="45"/>
      <c r="J16" s="45"/>
      <c r="K16" s="39"/>
      <c r="L16" s="45"/>
      <c r="M16" s="45"/>
      <c r="N16" s="39"/>
      <c r="O16" s="45"/>
      <c r="P16" s="45"/>
      <c r="Q16" s="39"/>
      <c r="R16" s="45"/>
      <c r="S16" s="45"/>
    </row>
    <row r="17" spans="1:44" ht="26.25">
      <c r="I17" s="861" t="s">
        <v>55</v>
      </c>
      <c r="J17" s="861"/>
      <c r="K17" s="38" t="s">
        <v>48</v>
      </c>
      <c r="L17" s="861" t="s">
        <v>56</v>
      </c>
      <c r="M17" s="861"/>
      <c r="N17" s="39" t="s">
        <v>50</v>
      </c>
      <c r="O17" s="861" t="s">
        <v>57</v>
      </c>
      <c r="P17" s="861"/>
      <c r="Q17" s="38" t="s">
        <v>48</v>
      </c>
      <c r="R17" s="861" t="s">
        <v>58</v>
      </c>
      <c r="S17" s="861"/>
      <c r="AN17" s="46"/>
      <c r="AO17" s="46"/>
      <c r="AP17" s="46"/>
      <c r="AQ17" s="46"/>
      <c r="AR17" s="46"/>
    </row>
    <row r="18" spans="1:44"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20" spans="1:44">
      <c r="D20" t="s">
        <v>59</v>
      </c>
      <c r="Z20" s="860"/>
      <c r="AA20" s="860"/>
      <c r="AB20" s="860"/>
      <c r="AC20" s="860"/>
      <c r="AD20" s="860"/>
      <c r="AE20" s="860"/>
      <c r="AJ20" s="47"/>
      <c r="AK20" s="48"/>
      <c r="AL20" s="48"/>
      <c r="AM20" s="48"/>
      <c r="AN20" s="46"/>
      <c r="AO20" s="46"/>
      <c r="AP20" s="46"/>
      <c r="AQ20" s="46"/>
      <c r="AR20" s="46"/>
    </row>
    <row r="21" spans="1:44" ht="12.75" customHeight="1">
      <c r="Z21" s="860"/>
      <c r="AA21" s="860"/>
      <c r="AB21" s="860"/>
      <c r="AC21" s="860"/>
      <c r="AD21" s="860"/>
      <c r="AE21" s="860"/>
      <c r="AJ21" s="47"/>
      <c r="AK21" s="47"/>
      <c r="AL21" s="47"/>
      <c r="AM21" s="47"/>
    </row>
    <row r="22" spans="1:44" ht="15.75" thickBot="1">
      <c r="AC22" s="34"/>
      <c r="AD22" s="47"/>
      <c r="AE22" s="47"/>
      <c r="AF22" s="47"/>
      <c r="AG22" s="47"/>
      <c r="AH22" s="47"/>
      <c r="AJ22" s="47"/>
      <c r="AK22" s="47"/>
      <c r="AL22" s="47"/>
      <c r="AM22" s="47"/>
    </row>
    <row r="23" spans="1:44" s="463" customFormat="1" ht="15.75" thickBot="1">
      <c r="B23" s="464">
        <v>42370</v>
      </c>
      <c r="C23" s="464">
        <v>42401</v>
      </c>
      <c r="D23" s="464">
        <v>42430</v>
      </c>
      <c r="E23" s="464">
        <v>42461</v>
      </c>
      <c r="F23" s="464">
        <v>42491</v>
      </c>
      <c r="G23" s="464">
        <v>42522</v>
      </c>
      <c r="H23" s="464">
        <v>42552</v>
      </c>
      <c r="I23" s="464">
        <v>42583</v>
      </c>
      <c r="J23" s="464">
        <v>42614</v>
      </c>
      <c r="K23" s="464">
        <v>42644</v>
      </c>
      <c r="L23" s="464">
        <v>42675</v>
      </c>
      <c r="M23" s="464">
        <v>42705</v>
      </c>
      <c r="Z23" s="859"/>
      <c r="AA23" s="859"/>
      <c r="AB23" s="859"/>
      <c r="AC23" s="465"/>
      <c r="AD23" s="466"/>
      <c r="AE23" s="467"/>
      <c r="AF23" s="468"/>
      <c r="AG23" s="469"/>
      <c r="AH23" s="469"/>
      <c r="AJ23" s="469"/>
      <c r="AK23" s="470">
        <v>105816.46</v>
      </c>
      <c r="AL23" s="471">
        <v>105816.46</v>
      </c>
      <c r="AM23" s="470"/>
    </row>
    <row r="24" spans="1:44" s="463" customFormat="1" ht="12.75" customHeight="1" thickBot="1">
      <c r="B24" s="592">
        <f>(A7+M7-(Y7+AK7))/(A11+M11-(Y11+AK11))</f>
        <v>2.1720137725494879E-3</v>
      </c>
      <c r="C24" s="592">
        <f>(B7+N7-(Z7+AL7))/(B11+N11-(Z11+AL11))</f>
        <v>2.4905503912615017E-3</v>
      </c>
      <c r="D24" s="592">
        <f t="shared" ref="D24:M24" si="0">ROUND((C7+O7-(AA7+AM7))/(C11+O11-(AA11+AM11)),11)</f>
        <v>2.9130796900000001E-3</v>
      </c>
      <c r="E24" s="592">
        <f t="shared" si="0"/>
        <v>5.7786005800000003E-3</v>
      </c>
      <c r="F24" s="592">
        <f t="shared" si="0"/>
        <v>6.6015767400000001E-3</v>
      </c>
      <c r="G24" s="592">
        <f t="shared" si="0"/>
        <v>8.9080009699999997E-3</v>
      </c>
      <c r="H24" s="592">
        <f t="shared" si="0"/>
        <v>1.090239994E-2</v>
      </c>
      <c r="I24" s="592">
        <f>ROUND((H7+T7-(AF7+AR7))/(H11+T11-(AF11+AR11)),11)</f>
        <v>8.5852240400000005E-3</v>
      </c>
      <c r="J24" s="592">
        <f t="shared" si="0"/>
        <v>6.5419565400000003E-3</v>
      </c>
      <c r="K24" s="592">
        <f>ROUND((J7+V7-(AH7+AT7))/(J11+V11-(AH11+AT11)),11)</f>
        <v>3.9982548099999999E-3</v>
      </c>
      <c r="L24" s="592">
        <f t="shared" si="0"/>
        <v>2.7208326499999999E-3</v>
      </c>
      <c r="M24" s="592">
        <f t="shared" si="0"/>
        <v>1.80115642E-3</v>
      </c>
      <c r="Z24" s="858"/>
      <c r="AA24" s="858"/>
      <c r="AB24" s="858"/>
      <c r="AC24" s="465"/>
      <c r="AD24" s="472"/>
      <c r="AE24" s="467"/>
      <c r="AF24" s="473"/>
      <c r="AG24" s="469"/>
      <c r="AH24" s="469"/>
      <c r="AJ24" s="469"/>
      <c r="AK24" s="470">
        <v>21234.51</v>
      </c>
      <c r="AL24" s="471" t="s">
        <v>61</v>
      </c>
      <c r="AM24" s="470"/>
    </row>
    <row r="25" spans="1:44" s="463" customFormat="1">
      <c r="B25" s="469" t="s">
        <v>62</v>
      </c>
      <c r="Z25" s="859"/>
      <c r="AA25" s="859"/>
      <c r="AB25" s="859"/>
      <c r="AC25" s="465"/>
      <c r="AD25" s="474"/>
      <c r="AE25" s="467"/>
      <c r="AF25" s="469"/>
      <c r="AG25" s="469"/>
      <c r="AH25" s="469"/>
      <c r="AJ25" s="469"/>
      <c r="AK25" s="470">
        <v>75553.77</v>
      </c>
      <c r="AL25" s="475" t="s">
        <v>60</v>
      </c>
      <c r="AM25" s="470"/>
    </row>
    <row r="26" spans="1:44" s="463" customFormat="1" ht="12.75" customHeight="1">
      <c r="Z26" s="858"/>
      <c r="AA26" s="858"/>
      <c r="AB26" s="858"/>
      <c r="AC26" s="476"/>
      <c r="AD26" s="473"/>
      <c r="AE26" s="469"/>
      <c r="AF26" s="469"/>
      <c r="AG26" s="469"/>
      <c r="AH26" s="469"/>
      <c r="AJ26" s="469"/>
      <c r="AK26" s="469"/>
      <c r="AL26" s="469"/>
      <c r="AM26" s="469"/>
    </row>
    <row r="27" spans="1:44" s="463" customFormat="1" ht="12.75" customHeight="1">
      <c r="D27" s="463" t="s">
        <v>63</v>
      </c>
      <c r="Z27" s="858"/>
      <c r="AA27" s="858"/>
      <c r="AB27" s="858"/>
      <c r="AC27" s="477"/>
      <c r="AD27" s="478"/>
      <c r="AE27" s="479"/>
      <c r="AF27" s="479"/>
      <c r="AG27" s="469"/>
      <c r="AH27" s="469"/>
      <c r="AJ27" s="469"/>
      <c r="AK27" s="469"/>
      <c r="AL27" s="469"/>
      <c r="AM27" s="469"/>
    </row>
    <row r="28" spans="1:44" s="463" customFormat="1">
      <c r="AC28" s="480"/>
      <c r="AD28" s="469"/>
      <c r="AE28" s="469"/>
      <c r="AF28" s="469"/>
      <c r="AG28" s="469"/>
      <c r="AH28" s="469"/>
      <c r="AJ28" s="469"/>
      <c r="AK28" s="469"/>
      <c r="AL28" s="469"/>
      <c r="AM28" s="469"/>
    </row>
    <row r="29" spans="1:44" s="463" customFormat="1">
      <c r="B29" s="464">
        <v>42370</v>
      </c>
      <c r="C29" s="464">
        <v>42401</v>
      </c>
      <c r="D29" s="464">
        <v>42430</v>
      </c>
      <c r="E29" s="464">
        <v>42461</v>
      </c>
      <c r="F29" s="464">
        <v>42491</v>
      </c>
      <c r="G29" s="464">
        <v>42522</v>
      </c>
      <c r="H29" s="464">
        <v>42552</v>
      </c>
      <c r="I29" s="464">
        <v>42583</v>
      </c>
      <c r="J29" s="464">
        <v>42614</v>
      </c>
      <c r="K29" s="464">
        <v>42644</v>
      </c>
      <c r="L29" s="464">
        <v>42675</v>
      </c>
      <c r="M29" s="464">
        <v>42705</v>
      </c>
      <c r="AC29" s="480"/>
      <c r="AD29" s="469"/>
      <c r="AE29" s="481"/>
      <c r="AF29" s="481"/>
      <c r="AG29" s="481"/>
      <c r="AH29" s="469"/>
      <c r="AJ29" s="469"/>
      <c r="AK29" s="469"/>
      <c r="AL29" s="469"/>
      <c r="AM29" s="469"/>
    </row>
    <row r="30" spans="1:44" s="463" customFormat="1">
      <c r="A30" s="463" t="s">
        <v>64</v>
      </c>
      <c r="B30" s="482">
        <f>B43+B43*'покупка опт 2016'!J16</f>
        <v>1284.99812</v>
      </c>
      <c r="C30" s="482">
        <f>C43+C43*'покупка опт 2016'!J16</f>
        <v>1492.18514</v>
      </c>
      <c r="D30" s="482">
        <f>D43+D43*'покупка опт 2016'!J27</f>
        <v>1351.52586</v>
      </c>
      <c r="E30" s="482">
        <f>E43+E43*'покупка опт 2016'!J27</f>
        <v>1190.1600000000001</v>
      </c>
      <c r="F30" s="482">
        <f>F43+F43*'покупка опт 2016'!J27</f>
        <v>825.06740000000002</v>
      </c>
      <c r="G30" s="482">
        <f>G43+G43*'покупка опт 2016'!J27</f>
        <v>634.47649999999999</v>
      </c>
      <c r="H30" s="482">
        <f>H43+H43*'покупка опт 2016'!J27</f>
        <v>711.85894000000008</v>
      </c>
      <c r="I30" s="482">
        <f>I43+I43*'покупка опт 2016'!J27</f>
        <v>823.78908000000001</v>
      </c>
      <c r="J30" s="482">
        <f>J43+J43*'покупка опт 2016'!J27</f>
        <v>931.63079999999991</v>
      </c>
      <c r="K30" s="482">
        <f>K43+K43*'покупка опт 2016'!J27</f>
        <v>1127.55538</v>
      </c>
      <c r="L30" s="482">
        <f>L43+L43*'покупка опт 2016'!I27*'покупка опт 2016'!J27</f>
        <v>1224.6570928000001</v>
      </c>
      <c r="M30" s="482">
        <f>M43+M43*'покупка опт 2016'!I27*'покупка опт 2016'!J27</f>
        <v>1264.5093880999998</v>
      </c>
      <c r="AC30" s="483"/>
      <c r="AD30" s="469"/>
      <c r="AE30" s="469"/>
      <c r="AF30" s="469"/>
      <c r="AG30" s="469"/>
      <c r="AH30" s="469"/>
    </row>
    <row r="31" spans="1:44" s="463" customFormat="1" ht="12.75" customHeight="1">
      <c r="A31" s="463" t="s">
        <v>66</v>
      </c>
      <c r="B31" s="482">
        <f>B44+B44*'покупка опт 2016'!J16</f>
        <v>350468.00208000001</v>
      </c>
      <c r="C31" s="482">
        <f>C44+C44*'покупка опт 2016'!J27</f>
        <v>573898.57921999996</v>
      </c>
      <c r="D31" s="482">
        <f>D44+D44*'покупка опт 2016'!J27</f>
        <v>502447.11424000002</v>
      </c>
      <c r="E31" s="482">
        <f>E44+E44*'покупка опт 2016'!J27</f>
        <v>445813.14126</v>
      </c>
      <c r="F31" s="482">
        <f>F44+F44*'покупка опт 2016'!J27</f>
        <v>391376.65545999998</v>
      </c>
      <c r="G31" s="482">
        <f>G44+G44*'покупка опт 2016'!J27</f>
        <v>461385.42612000002</v>
      </c>
      <c r="H31" s="482">
        <f>H44+H44*'покупка опт 2016'!J27</f>
        <v>474043.81359999999</v>
      </c>
      <c r="I31" s="482">
        <f>I44+I44*'покупка опт 2016'!J27</f>
        <v>372004.15666000004</v>
      </c>
      <c r="J31" s="482">
        <f>J44+J44*'покупка опт 2016'!J27</f>
        <v>401228.92116000003</v>
      </c>
      <c r="K31" s="482">
        <f>K44+K44*'покупка опт 2016'!J27</f>
        <v>402715.37589999998</v>
      </c>
      <c r="L31" s="482">
        <f>L44+L44*'покупка опт 2016'!I27*'покупка опт 2016'!J27</f>
        <v>280235.89282269997</v>
      </c>
      <c r="M31" s="482">
        <f>M44+M44*'покупка опт 2016'!I27*'покупка опт 2016'!J27</f>
        <v>269208.34933280002</v>
      </c>
      <c r="AD31" s="469"/>
      <c r="AE31" s="469"/>
      <c r="AF31" s="469"/>
      <c r="AG31" s="469"/>
      <c r="AH31" s="469"/>
    </row>
    <row r="32" spans="1:44" s="463" customFormat="1">
      <c r="A32" s="463" t="s">
        <v>53</v>
      </c>
      <c r="B32" s="647">
        <f>B24</f>
        <v>2.1720137725494879E-3</v>
      </c>
      <c r="C32" s="647">
        <f t="shared" ref="C32:M32" si="1">C24</f>
        <v>2.4905503912615017E-3</v>
      </c>
      <c r="D32" s="647">
        <f t="shared" si="1"/>
        <v>2.9130796900000001E-3</v>
      </c>
      <c r="E32" s="647">
        <f t="shared" si="1"/>
        <v>5.7786005800000003E-3</v>
      </c>
      <c r="F32" s="647">
        <f t="shared" si="1"/>
        <v>6.6015767400000001E-3</v>
      </c>
      <c r="G32" s="647">
        <f t="shared" si="1"/>
        <v>8.9080009699999997E-3</v>
      </c>
      <c r="H32" s="647">
        <f t="shared" si="1"/>
        <v>1.090239994E-2</v>
      </c>
      <c r="I32" s="647">
        <f t="shared" si="1"/>
        <v>8.5852240400000005E-3</v>
      </c>
      <c r="J32" s="647">
        <f t="shared" si="1"/>
        <v>6.5419565400000003E-3</v>
      </c>
      <c r="K32" s="647">
        <f t="shared" si="1"/>
        <v>3.9982548099999999E-3</v>
      </c>
      <c r="L32" s="647">
        <f t="shared" si="1"/>
        <v>2.7208326499999999E-3</v>
      </c>
      <c r="M32" s="647">
        <f t="shared" si="1"/>
        <v>1.80115642E-3</v>
      </c>
      <c r="AD32" s="469"/>
      <c r="AE32" s="469"/>
      <c r="AF32" s="469"/>
      <c r="AG32" s="469"/>
      <c r="AH32" s="469"/>
    </row>
    <row r="33" spans="1:34" s="463" customFormat="1">
      <c r="A33" s="463" t="s">
        <v>67</v>
      </c>
      <c r="B33" s="646">
        <f>ROUND(B30+B31*B32,2)</f>
        <v>2046.22</v>
      </c>
      <c r="C33" s="646">
        <f t="shared" ref="C33:M33" si="2">ROUND(C30+C31*C32,2)</f>
        <v>2921.51</v>
      </c>
      <c r="D33" s="646">
        <f t="shared" si="2"/>
        <v>2815.19</v>
      </c>
      <c r="E33" s="646">
        <f t="shared" si="2"/>
        <v>3766.34</v>
      </c>
      <c r="F33" s="646">
        <f t="shared" si="2"/>
        <v>3408.77</v>
      </c>
      <c r="G33" s="646">
        <f t="shared" si="2"/>
        <v>4744.5</v>
      </c>
      <c r="H33" s="646">
        <f t="shared" si="2"/>
        <v>5880.07</v>
      </c>
      <c r="I33" s="646">
        <f t="shared" si="2"/>
        <v>4017.53</v>
      </c>
      <c r="J33" s="646">
        <f t="shared" si="2"/>
        <v>3556.45</v>
      </c>
      <c r="K33" s="646">
        <f t="shared" si="2"/>
        <v>2737.71</v>
      </c>
      <c r="L33" s="646">
        <f t="shared" si="2"/>
        <v>1987.13</v>
      </c>
      <c r="M33" s="646">
        <f t="shared" si="2"/>
        <v>1749.4</v>
      </c>
      <c r="AD33" s="469"/>
      <c r="AE33" s="469"/>
      <c r="AF33" s="469"/>
      <c r="AG33" s="469"/>
      <c r="AH33" s="469"/>
    </row>
    <row r="34" spans="1:34" s="463" customFormat="1">
      <c r="G34" s="485"/>
      <c r="K34" s="485"/>
      <c r="AC34" s="486">
        <f>AC27/1000</f>
        <v>0</v>
      </c>
      <c r="AD34" s="469"/>
      <c r="AE34" s="469"/>
      <c r="AF34" s="469"/>
      <c r="AG34" s="469"/>
      <c r="AH34" s="469"/>
    </row>
    <row r="35" spans="1:34" s="463" customFormat="1">
      <c r="K35" s="485"/>
    </row>
    <row r="36" spans="1:34">
      <c r="I36" s="37"/>
    </row>
    <row r="37" spans="1:34">
      <c r="A37" s="36"/>
      <c r="B37" t="s">
        <v>68</v>
      </c>
      <c r="M37" s="50"/>
      <c r="N37" s="51"/>
      <c r="R37" s="46">
        <f>A7+M7-(Y7+AK7)</f>
        <v>45.356463889255608</v>
      </c>
      <c r="Z37" s="860"/>
      <c r="AA37" s="860"/>
      <c r="AB37" s="860"/>
      <c r="AC37" s="860"/>
      <c r="AD37" s="860"/>
      <c r="AE37" s="860"/>
    </row>
    <row r="38" spans="1:34">
      <c r="Z38" s="860"/>
      <c r="AA38" s="860"/>
      <c r="AB38" s="860"/>
      <c r="AC38" s="860"/>
      <c r="AD38" s="860"/>
      <c r="AE38" s="860"/>
    </row>
    <row r="39" spans="1:34">
      <c r="B39" s="52" t="s">
        <v>69</v>
      </c>
      <c r="C39" s="52"/>
      <c r="D39" s="52"/>
      <c r="E39" s="52"/>
      <c r="F39" s="52"/>
      <c r="G39" s="52"/>
    </row>
    <row r="40" spans="1:34">
      <c r="B40" s="52"/>
      <c r="C40" s="52"/>
      <c r="D40" s="52"/>
      <c r="E40" s="52"/>
      <c r="F40" s="52"/>
      <c r="G40" s="52"/>
    </row>
    <row r="41" spans="1:34">
      <c r="B41" t="s">
        <v>70</v>
      </c>
      <c r="C41" s="52"/>
      <c r="D41" s="52"/>
      <c r="E41" s="52"/>
      <c r="F41" s="52"/>
      <c r="G41" s="52"/>
    </row>
    <row r="42" spans="1:34">
      <c r="B42">
        <v>2015</v>
      </c>
      <c r="C42">
        <v>2015</v>
      </c>
      <c r="D42">
        <v>2015</v>
      </c>
      <c r="E42">
        <v>2015</v>
      </c>
      <c r="F42">
        <v>2015</v>
      </c>
      <c r="G42">
        <v>2015</v>
      </c>
      <c r="H42">
        <v>2015</v>
      </c>
      <c r="I42">
        <v>2015</v>
      </c>
      <c r="J42">
        <v>2015</v>
      </c>
      <c r="K42">
        <v>2015</v>
      </c>
      <c r="L42">
        <v>2014</v>
      </c>
      <c r="M42">
        <v>2014</v>
      </c>
    </row>
    <row r="43" spans="1:34">
      <c r="A43" s="463" t="s">
        <v>64</v>
      </c>
      <c r="B43" s="482">
        <v>1166.06</v>
      </c>
      <c r="C43" s="482">
        <v>1354.07</v>
      </c>
      <c r="D43" s="482">
        <v>1226.43</v>
      </c>
      <c r="E43" s="482">
        <v>1080</v>
      </c>
      <c r="F43" s="482">
        <v>748.7</v>
      </c>
      <c r="G43" s="482" t="s">
        <v>65</v>
      </c>
      <c r="H43" s="482">
        <v>645.97</v>
      </c>
      <c r="I43" s="482">
        <v>747.54</v>
      </c>
      <c r="J43" s="482">
        <v>845.4</v>
      </c>
      <c r="K43" s="482">
        <v>1023.19</v>
      </c>
      <c r="L43" s="482" t="s">
        <v>230</v>
      </c>
      <c r="M43" s="482" t="s">
        <v>232</v>
      </c>
    </row>
    <row r="44" spans="1:34">
      <c r="A44" s="463" t="s">
        <v>66</v>
      </c>
      <c r="B44" s="482">
        <v>318029.03999999998</v>
      </c>
      <c r="C44" s="482">
        <v>520779.11</v>
      </c>
      <c r="D44" s="482">
        <v>455941.12</v>
      </c>
      <c r="E44" s="482">
        <v>404549.13</v>
      </c>
      <c r="F44" s="482">
        <v>355151.23</v>
      </c>
      <c r="G44" s="484">
        <v>418680.06</v>
      </c>
      <c r="H44" s="482">
        <v>430166.8</v>
      </c>
      <c r="I44" s="482">
        <v>337571.83</v>
      </c>
      <c r="J44" s="482">
        <v>364091.58</v>
      </c>
      <c r="K44" s="482">
        <v>365440.45</v>
      </c>
      <c r="L44" s="482" t="s">
        <v>231</v>
      </c>
      <c r="M44" s="482" t="s">
        <v>233</v>
      </c>
    </row>
    <row r="45" spans="1:34">
      <c r="C45" s="40"/>
      <c r="K45" s="37">
        <f>I33-H33</f>
        <v>-1862.5399999999995</v>
      </c>
    </row>
    <row r="46" spans="1:34">
      <c r="C46" s="40"/>
      <c r="K46" s="53">
        <f>K45/H33</f>
        <v>-0.31675473251168773</v>
      </c>
    </row>
    <row r="47" spans="1:34">
      <c r="C47" s="49"/>
    </row>
    <row r="49" spans="11:11">
      <c r="K49">
        <f>H33*K46+H33</f>
        <v>4017.53</v>
      </c>
    </row>
  </sheetData>
  <mergeCells count="25">
    <mergeCell ref="AK5:AV5"/>
    <mergeCell ref="A9:L9"/>
    <mergeCell ref="M9:X9"/>
    <mergeCell ref="Y9:AJ9"/>
    <mergeCell ref="AK9:AV9"/>
    <mergeCell ref="G15:G16"/>
    <mergeCell ref="H15:H16"/>
    <mergeCell ref="A5:L5"/>
    <mergeCell ref="M5:X5"/>
    <mergeCell ref="Y5:AJ5"/>
    <mergeCell ref="Z23:AB23"/>
    <mergeCell ref="I14:J14"/>
    <mergeCell ref="L14:M14"/>
    <mergeCell ref="O14:P14"/>
    <mergeCell ref="R14:S14"/>
    <mergeCell ref="I17:J17"/>
    <mergeCell ref="L17:M17"/>
    <mergeCell ref="O17:P17"/>
    <mergeCell ref="R17:S17"/>
    <mergeCell ref="Z20:AE21"/>
    <mergeCell ref="Z24:AB24"/>
    <mergeCell ref="Z25:AB25"/>
    <mergeCell ref="Z26:AB26"/>
    <mergeCell ref="Z27:AB27"/>
    <mergeCell ref="Z37:AE3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opLeftCell="A7" workbookViewId="0">
      <selection activeCell="H33" sqref="H33"/>
    </sheetView>
  </sheetViews>
  <sheetFormatPr defaultRowHeight="12.75"/>
  <cols>
    <col min="1" max="1" width="9.7109375" style="633" customWidth="1"/>
    <col min="2" max="3" width="13.28515625" style="501" customWidth="1"/>
    <col min="4" max="4" width="13" style="501" customWidth="1"/>
    <col min="5" max="5" width="12.85546875" style="501" customWidth="1"/>
    <col min="6" max="6" width="13.28515625" style="501" customWidth="1"/>
    <col min="7" max="7" width="16" style="501" customWidth="1"/>
    <col min="8" max="8" width="14.28515625" style="633" customWidth="1"/>
    <col min="9" max="9" width="10.85546875" style="633" customWidth="1"/>
    <col min="10" max="10" width="12.7109375" style="633" customWidth="1"/>
    <col min="11" max="11" width="9.7109375" style="633" customWidth="1"/>
    <col min="12" max="12" width="16.7109375" style="633" customWidth="1"/>
    <col min="13" max="13" width="11.7109375" style="633" customWidth="1"/>
    <col min="14" max="14" width="14.28515625" style="633" customWidth="1"/>
    <col min="15" max="16" width="13.28515625" style="633" customWidth="1"/>
    <col min="17" max="18" width="13.85546875" style="633" customWidth="1"/>
    <col min="19" max="19" width="13.140625" style="633" customWidth="1"/>
    <col min="20" max="20" width="14" style="633" customWidth="1"/>
    <col min="21" max="21" width="16.140625" style="633" customWidth="1"/>
    <col min="22" max="22" width="13.28515625" style="633" hidden="1" customWidth="1"/>
    <col min="23" max="23" width="12.7109375" style="633" customWidth="1"/>
    <col min="24" max="24" width="12.85546875" style="633" customWidth="1"/>
    <col min="25" max="25" width="12.140625" style="633" bestFit="1" customWidth="1"/>
    <col min="26" max="16384" width="9.140625" style="633"/>
  </cols>
  <sheetData>
    <row r="1" spans="1:15" ht="18.75" customHeight="1"/>
    <row r="2" spans="1:15" ht="18.75" customHeight="1">
      <c r="A2" s="875" t="s">
        <v>234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</row>
    <row r="4" spans="1:15">
      <c r="A4" s="633" t="s">
        <v>235</v>
      </c>
    </row>
    <row r="5" spans="1:15">
      <c r="A5" s="632" t="s">
        <v>11</v>
      </c>
      <c r="B5" s="503" t="s">
        <v>12</v>
      </c>
      <c r="C5" s="503" t="s">
        <v>13</v>
      </c>
      <c r="D5" s="503" t="s">
        <v>14</v>
      </c>
      <c r="E5" s="503" t="s">
        <v>15</v>
      </c>
      <c r="F5" s="503" t="s">
        <v>16</v>
      </c>
      <c r="G5" s="503" t="s">
        <v>17</v>
      </c>
      <c r="H5" s="632" t="s">
        <v>18</v>
      </c>
      <c r="I5" s="632" t="s">
        <v>19</v>
      </c>
      <c r="J5" s="632" t="s">
        <v>20</v>
      </c>
      <c r="K5" s="632" t="s">
        <v>21</v>
      </c>
      <c r="L5" s="632" t="s">
        <v>22</v>
      </c>
    </row>
    <row r="6" spans="1:15">
      <c r="A6" s="632">
        <v>1.52</v>
      </c>
      <c r="B6" s="503">
        <v>1.52</v>
      </c>
      <c r="C6" s="503">
        <v>1.55</v>
      </c>
      <c r="D6" s="503">
        <v>1.8</v>
      </c>
      <c r="E6" s="503">
        <v>1.91</v>
      </c>
      <c r="F6" s="503">
        <v>1.99</v>
      </c>
      <c r="G6" s="503">
        <v>2.0099999999999998</v>
      </c>
      <c r="H6" s="632">
        <v>1.97</v>
      </c>
      <c r="I6" s="632">
        <v>1.8</v>
      </c>
      <c r="J6" s="632">
        <v>1.63</v>
      </c>
      <c r="K6" s="632">
        <v>1.5</v>
      </c>
      <c r="L6" s="632">
        <v>1.4</v>
      </c>
      <c r="M6" s="631" t="s">
        <v>236</v>
      </c>
    </row>
    <row r="8" spans="1:15">
      <c r="A8" s="633" t="s">
        <v>237</v>
      </c>
    </row>
    <row r="9" spans="1:15">
      <c r="A9" s="630" t="s">
        <v>238</v>
      </c>
      <c r="B9" s="506"/>
      <c r="C9" s="506"/>
    </row>
    <row r="10" spans="1:15">
      <c r="A10" s="623" t="s">
        <v>239</v>
      </c>
      <c r="B10" s="624"/>
      <c r="C10" s="624"/>
    </row>
    <row r="11" spans="1:15" ht="48" customHeight="1">
      <c r="A11" s="886" t="s">
        <v>269</v>
      </c>
      <c r="B11" s="887"/>
      <c r="C11" s="887"/>
      <c r="D11" s="887"/>
      <c r="E11" s="887"/>
      <c r="F11" s="888"/>
      <c r="G11" s="639">
        <v>472873</v>
      </c>
    </row>
    <row r="12" spans="1:15" ht="48" customHeight="1">
      <c r="A12" s="889" t="s">
        <v>270</v>
      </c>
      <c r="B12" s="890"/>
      <c r="C12" s="890"/>
      <c r="D12" s="890"/>
      <c r="E12" s="891"/>
      <c r="F12" s="639">
        <v>901</v>
      </c>
      <c r="G12" s="639">
        <v>783</v>
      </c>
    </row>
    <row r="13" spans="1:15">
      <c r="A13" s="629" t="s">
        <v>240</v>
      </c>
      <c r="B13" s="508"/>
      <c r="C13" s="508"/>
      <c r="H13" s="500"/>
      <c r="I13" s="500">
        <v>2015</v>
      </c>
      <c r="J13" s="500">
        <v>2016</v>
      </c>
      <c r="K13" s="500"/>
      <c r="L13" s="500"/>
      <c r="M13" s="500"/>
      <c r="N13" s="500"/>
    </row>
    <row r="14" spans="1:15">
      <c r="A14" s="628"/>
      <c r="B14" s="876" t="s">
        <v>241</v>
      </c>
      <c r="C14" s="877"/>
      <c r="D14" s="511" t="s">
        <v>242</v>
      </c>
      <c r="E14" s="511" t="s">
        <v>243</v>
      </c>
      <c r="F14" s="511" t="s">
        <v>244</v>
      </c>
      <c r="G14" s="511" t="s">
        <v>245</v>
      </c>
      <c r="H14" s="511" t="s">
        <v>246</v>
      </c>
      <c r="I14" s="512" t="s">
        <v>247</v>
      </c>
      <c r="J14" s="513" t="s">
        <v>247</v>
      </c>
      <c r="K14" s="500"/>
      <c r="L14" s="514"/>
      <c r="M14" s="500"/>
      <c r="N14" s="500"/>
      <c r="O14" s="500"/>
    </row>
    <row r="15" spans="1:15" ht="25.5">
      <c r="A15" s="627" t="s">
        <v>139</v>
      </c>
      <c r="B15" s="516" t="s">
        <v>248</v>
      </c>
      <c r="C15" s="516" t="s">
        <v>249</v>
      </c>
      <c r="D15" s="516" t="s">
        <v>248</v>
      </c>
      <c r="E15" s="516" t="s">
        <v>248</v>
      </c>
      <c r="F15" s="516" t="s">
        <v>249</v>
      </c>
      <c r="G15" s="516" t="s">
        <v>249</v>
      </c>
      <c r="H15" s="516" t="s">
        <v>249</v>
      </c>
      <c r="I15" s="500"/>
      <c r="J15" s="500"/>
      <c r="K15" s="500"/>
      <c r="L15" s="500"/>
      <c r="M15" s="500"/>
      <c r="N15" s="500"/>
      <c r="O15" s="500"/>
    </row>
    <row r="16" spans="1:15">
      <c r="A16" s="626" t="s">
        <v>11</v>
      </c>
      <c r="B16" s="640">
        <v>5.3933852185026165E-2</v>
      </c>
      <c r="C16" s="618">
        <v>38253.699999999997</v>
      </c>
      <c r="D16" s="618">
        <v>1.1488549715567151</v>
      </c>
      <c r="E16" s="618">
        <v>1.5058676372635356</v>
      </c>
      <c r="F16" s="640">
        <v>183626.60581632095</v>
      </c>
      <c r="G16" s="640">
        <v>1160365.6487419831</v>
      </c>
      <c r="H16" s="640">
        <v>261478.17807706699</v>
      </c>
      <c r="I16" s="504"/>
      <c r="J16" s="518">
        <v>0.10199999999999999</v>
      </c>
      <c r="K16" s="504" t="s">
        <v>250</v>
      </c>
      <c r="L16" s="500"/>
      <c r="M16" s="500"/>
      <c r="N16" s="500"/>
      <c r="O16" s="500"/>
    </row>
    <row r="17" spans="1:24">
      <c r="A17" s="626" t="s">
        <v>12</v>
      </c>
      <c r="B17" s="640">
        <v>0.11435600517889132</v>
      </c>
      <c r="C17" s="618">
        <v>39699.870000000003</v>
      </c>
      <c r="D17" s="618">
        <v>1.3304397553654905</v>
      </c>
      <c r="E17" s="618">
        <v>1.6314705321594798</v>
      </c>
      <c r="F17" s="640">
        <v>183288.9188048511</v>
      </c>
      <c r="G17" s="640">
        <v>1158597.5771453497</v>
      </c>
      <c r="H17" s="640">
        <v>261304.75306479857</v>
      </c>
      <c r="I17" s="504"/>
      <c r="J17" s="518">
        <v>0.10199999999999999</v>
      </c>
      <c r="K17" s="500"/>
      <c r="L17" s="500"/>
      <c r="M17" s="500"/>
      <c r="N17" s="500"/>
      <c r="O17" s="500"/>
    </row>
    <row r="18" spans="1:24">
      <c r="A18" s="626" t="s">
        <v>13</v>
      </c>
      <c r="B18" s="640">
        <v>0.15983367411106406</v>
      </c>
      <c r="C18" s="618">
        <v>38253.699999999997</v>
      </c>
      <c r="D18" s="618">
        <v>1.2079984203412621</v>
      </c>
      <c r="E18" s="618">
        <v>1.5029933063705465</v>
      </c>
      <c r="F18" s="640">
        <v>168176.74924542353</v>
      </c>
      <c r="G18" s="640">
        <v>1052201.9906631554</v>
      </c>
      <c r="H18" s="640">
        <v>250271.08429959262</v>
      </c>
      <c r="I18" s="504"/>
      <c r="J18" s="518">
        <v>0.10199999999999999</v>
      </c>
      <c r="K18" s="500"/>
      <c r="L18" s="617"/>
      <c r="M18" s="617"/>
      <c r="N18" s="617"/>
      <c r="O18" s="617"/>
      <c r="P18" s="617"/>
      <c r="Q18" s="617"/>
      <c r="R18" s="617"/>
      <c r="S18" s="617"/>
      <c r="T18" s="617"/>
    </row>
    <row r="19" spans="1:24">
      <c r="A19" s="626" t="s">
        <v>14</v>
      </c>
      <c r="B19" s="640">
        <v>6.3394642178287886E-2</v>
      </c>
      <c r="C19" s="618">
        <v>31640.092075646531</v>
      </c>
      <c r="D19" s="618">
        <v>1.0619162136062563</v>
      </c>
      <c r="E19" s="618">
        <v>1.3801865468463443</v>
      </c>
      <c r="F19" s="640">
        <v>150669.86603107466</v>
      </c>
      <c r="G19" s="640">
        <v>912082.67433141707</v>
      </c>
      <c r="H19" s="640">
        <v>228286.75895483646</v>
      </c>
      <c r="I19" s="504"/>
      <c r="J19" s="518">
        <v>0.10199999999999999</v>
      </c>
      <c r="K19" s="500"/>
      <c r="L19" s="617"/>
      <c r="M19" s="617"/>
      <c r="N19" s="617"/>
      <c r="O19" s="617"/>
      <c r="P19" s="617"/>
      <c r="Q19" s="617"/>
      <c r="R19" s="617"/>
      <c r="S19" s="617"/>
      <c r="T19" s="617"/>
    </row>
    <row r="20" spans="1:24">
      <c r="A20" s="626" t="s">
        <v>15</v>
      </c>
      <c r="B20" s="640">
        <v>5.7565077850039469E-2</v>
      </c>
      <c r="C20" s="618">
        <v>38253.699999999997</v>
      </c>
      <c r="D20" s="618">
        <v>0.72740729745907451</v>
      </c>
      <c r="E20" s="618">
        <v>1.0579174861536988</v>
      </c>
      <c r="F20" s="640">
        <v>141388.30705762017</v>
      </c>
      <c r="G20" s="640">
        <v>866021.30608501995</v>
      </c>
      <c r="H20" s="640">
        <v>208536.13928729852</v>
      </c>
      <c r="I20" s="504"/>
      <c r="J20" s="518">
        <v>0.10199999999999999</v>
      </c>
      <c r="K20" s="500"/>
      <c r="L20" s="501"/>
      <c r="M20" s="501"/>
      <c r="N20" s="501"/>
      <c r="O20" s="501"/>
      <c r="P20" s="501"/>
      <c r="Q20" s="501"/>
      <c r="R20" s="501"/>
      <c r="S20" s="501"/>
      <c r="T20" s="501"/>
    </row>
    <row r="21" spans="1:24">
      <c r="A21" s="626" t="s">
        <v>16</v>
      </c>
      <c r="B21" s="640">
        <v>0.2310157951495859</v>
      </c>
      <c r="C21" s="618">
        <v>38253.699999999997</v>
      </c>
      <c r="D21" s="618">
        <v>0.54814012090878095</v>
      </c>
      <c r="E21" s="618">
        <v>1.1700505828018473</v>
      </c>
      <c r="F21" s="640">
        <v>135043.75647649774</v>
      </c>
      <c r="G21" s="640">
        <v>873101.54017555702</v>
      </c>
      <c r="H21" s="640">
        <v>202839.28489421026</v>
      </c>
      <c r="I21" s="504"/>
      <c r="J21" s="518">
        <v>0.10199999999999999</v>
      </c>
      <c r="K21" s="500"/>
      <c r="L21" s="520"/>
      <c r="M21" s="519"/>
      <c r="N21" s="500"/>
      <c r="O21" s="500"/>
    </row>
    <row r="22" spans="1:24">
      <c r="A22" s="626" t="s">
        <v>17</v>
      </c>
      <c r="B22" s="640">
        <v>1.5580000571957646E-2</v>
      </c>
      <c r="C22" s="618">
        <v>41803.1</v>
      </c>
      <c r="D22" s="618">
        <v>0.61254710441130844</v>
      </c>
      <c r="E22" s="618">
        <v>0.97915120852639581</v>
      </c>
      <c r="F22" s="640">
        <v>130882.35345267439</v>
      </c>
      <c r="G22" s="640">
        <v>854723.82872644637</v>
      </c>
      <c r="H22" s="640">
        <v>199870.50412293852</v>
      </c>
      <c r="I22" s="518">
        <v>0.105</v>
      </c>
      <c r="J22" s="518">
        <v>0.10199999999999999</v>
      </c>
      <c r="K22" s="500"/>
      <c r="L22" s="522"/>
      <c r="M22" s="500"/>
      <c r="N22" s="500"/>
      <c r="O22" s="500"/>
    </row>
    <row r="23" spans="1:24">
      <c r="A23" s="626" t="s">
        <v>18</v>
      </c>
      <c r="B23" s="640">
        <v>1.5580000523820747E-2</v>
      </c>
      <c r="C23" s="618">
        <v>39236.14</v>
      </c>
      <c r="D23" s="618">
        <v>0.75766068061458491</v>
      </c>
      <c r="E23" s="618">
        <v>1.0324403926559798</v>
      </c>
      <c r="F23" s="640">
        <v>134012.84230505291</v>
      </c>
      <c r="G23" s="640">
        <v>874701.27914303727</v>
      </c>
      <c r="H23" s="640">
        <v>202424.6821360458</v>
      </c>
      <c r="I23" s="518">
        <v>0.105</v>
      </c>
      <c r="J23" s="518">
        <v>0.10199999999999999</v>
      </c>
      <c r="K23" s="500"/>
      <c r="L23" s="523"/>
      <c r="M23" s="500"/>
      <c r="N23" s="500"/>
      <c r="O23" s="500"/>
    </row>
    <row r="24" spans="1:24">
      <c r="A24" s="626" t="s">
        <v>19</v>
      </c>
      <c r="B24" s="640">
        <v>0.22478867249346335</v>
      </c>
      <c r="C24" s="618">
        <v>41803.1</v>
      </c>
      <c r="D24" s="618">
        <v>0.86234967146938823</v>
      </c>
      <c r="E24" s="618">
        <v>1.0535763791086328</v>
      </c>
      <c r="F24" s="640">
        <v>149926.74681918992</v>
      </c>
      <c r="G24" s="640">
        <v>952935.56201423821</v>
      </c>
      <c r="H24" s="640">
        <v>223180.79294336122</v>
      </c>
      <c r="I24" s="518">
        <v>0.105</v>
      </c>
      <c r="J24" s="518">
        <v>0.10199999999999999</v>
      </c>
      <c r="K24" s="500"/>
      <c r="L24" s="500"/>
      <c r="M24" s="500"/>
      <c r="N24" s="500"/>
      <c r="O24" s="500"/>
    </row>
    <row r="25" spans="1:24">
      <c r="A25" s="626" t="s">
        <v>20</v>
      </c>
      <c r="B25" s="618">
        <v>4.8796337570000001E-2</v>
      </c>
      <c r="C25" s="618">
        <v>41803.1</v>
      </c>
      <c r="D25" s="618">
        <v>1.0577204299</v>
      </c>
      <c r="E25" s="618">
        <v>1.05476287518</v>
      </c>
      <c r="F25" s="618">
        <v>160097.56051513238</v>
      </c>
      <c r="G25" s="618">
        <v>1173748.0867227677</v>
      </c>
      <c r="H25" s="618">
        <v>243309.03958614485</v>
      </c>
      <c r="I25" s="518">
        <v>0.105</v>
      </c>
      <c r="J25" s="518">
        <v>0.10199999999999999</v>
      </c>
      <c r="K25" s="500"/>
      <c r="L25" s="500"/>
      <c r="M25" s="500"/>
      <c r="N25" s="500"/>
      <c r="O25" s="500"/>
    </row>
    <row r="26" spans="1:24">
      <c r="A26" s="626" t="s">
        <v>21</v>
      </c>
      <c r="B26" s="521">
        <v>0.1996087959136558</v>
      </c>
      <c r="C26" s="618">
        <v>41803.1</v>
      </c>
      <c r="D26" s="521">
        <v>1.4627175023254573</v>
      </c>
      <c r="E26" s="521">
        <v>1.4627175023254573</v>
      </c>
      <c r="F26" s="521">
        <v>98187.988739236025</v>
      </c>
      <c r="G26" s="521">
        <v>987137.63344760053</v>
      </c>
      <c r="H26" s="521">
        <f>'[1]Цена ВР'!B14</f>
        <v>245550.97195357835</v>
      </c>
      <c r="I26" s="518">
        <v>0.105</v>
      </c>
      <c r="J26" s="518">
        <v>0.10199999999999999</v>
      </c>
      <c r="K26" s="500"/>
      <c r="L26" s="500"/>
      <c r="M26" s="500"/>
      <c r="N26" s="500"/>
      <c r="O26" s="500"/>
    </row>
    <row r="27" spans="1:24">
      <c r="A27" s="626" t="s">
        <v>22</v>
      </c>
      <c r="B27" s="521">
        <v>0.11146026426086081</v>
      </c>
      <c r="C27" s="618">
        <v>36010.897386893339</v>
      </c>
      <c r="D27" s="521">
        <v>1.5011877705161147</v>
      </c>
      <c r="E27" s="521">
        <v>1.5011877705161147</v>
      </c>
      <c r="F27" s="521">
        <v>105465.87642403378</v>
      </c>
      <c r="G27" s="521">
        <v>1023072.4187975121</v>
      </c>
      <c r="H27" s="521">
        <f>'[1]Цена ВР'!B15</f>
        <v>262783.37078651687</v>
      </c>
      <c r="I27" s="518">
        <v>0.105</v>
      </c>
      <c r="J27" s="518">
        <v>0.10199999999999999</v>
      </c>
      <c r="K27" s="500"/>
      <c r="L27" s="500"/>
      <c r="M27" s="500"/>
      <c r="N27" s="500"/>
      <c r="O27" s="500"/>
    </row>
    <row r="28" spans="1:24">
      <c r="A28" s="629"/>
    </row>
    <row r="29" spans="1:24" ht="13.5" thickBot="1">
      <c r="K29" s="633" t="s">
        <v>268</v>
      </c>
      <c r="L29" s="633" t="s">
        <v>268</v>
      </c>
      <c r="M29" s="633" t="s">
        <v>268</v>
      </c>
    </row>
    <row r="30" spans="1:24" ht="15.75" customHeight="1" thickBot="1">
      <c r="A30" s="616">
        <v>2013</v>
      </c>
      <c r="B30" s="878" t="s">
        <v>251</v>
      </c>
      <c r="C30" s="879"/>
      <c r="D30" s="879"/>
      <c r="E30" s="879"/>
      <c r="F30" s="880"/>
      <c r="G30" s="881" t="s">
        <v>252</v>
      </c>
      <c r="H30" s="882"/>
      <c r="I30" s="882"/>
      <c r="J30" s="883"/>
      <c r="K30" s="881" t="s">
        <v>242</v>
      </c>
      <c r="L30" s="883"/>
      <c r="M30" s="884" t="s">
        <v>243</v>
      </c>
      <c r="N30" s="885"/>
      <c r="O30" s="881" t="s">
        <v>245</v>
      </c>
      <c r="P30" s="883"/>
      <c r="Q30" s="881" t="s">
        <v>244</v>
      </c>
      <c r="R30" s="883"/>
      <c r="S30" s="881" t="s">
        <v>246</v>
      </c>
      <c r="T30" s="883"/>
      <c r="U30" s="873" t="s">
        <v>253</v>
      </c>
      <c r="V30" s="873"/>
      <c r="W30" s="873" t="s">
        <v>254</v>
      </c>
    </row>
    <row r="31" spans="1:24" ht="60.75" thickBot="1">
      <c r="A31" s="615" t="s">
        <v>139</v>
      </c>
      <c r="B31" s="526" t="s">
        <v>255</v>
      </c>
      <c r="C31" s="527" t="s">
        <v>256</v>
      </c>
      <c r="D31" s="527" t="s">
        <v>257</v>
      </c>
      <c r="E31" s="527" t="s">
        <v>258</v>
      </c>
      <c r="F31" s="528" t="s">
        <v>259</v>
      </c>
      <c r="G31" s="529" t="s">
        <v>260</v>
      </c>
      <c r="H31" s="530" t="s">
        <v>261</v>
      </c>
      <c r="I31" s="530" t="s">
        <v>262</v>
      </c>
      <c r="J31" s="531" t="s">
        <v>261</v>
      </c>
      <c r="K31" s="532" t="s">
        <v>260</v>
      </c>
      <c r="L31" s="531" t="s">
        <v>261</v>
      </c>
      <c r="M31" s="533" t="s">
        <v>260</v>
      </c>
      <c r="N31" s="534" t="s">
        <v>261</v>
      </c>
      <c r="O31" s="535" t="s">
        <v>262</v>
      </c>
      <c r="P31" s="536" t="s">
        <v>261</v>
      </c>
      <c r="Q31" s="532" t="s">
        <v>262</v>
      </c>
      <c r="R31" s="531" t="s">
        <v>261</v>
      </c>
      <c r="S31" s="532" t="s">
        <v>262</v>
      </c>
      <c r="T31" s="531" t="s">
        <v>261</v>
      </c>
      <c r="U31" s="874"/>
      <c r="V31" s="874"/>
      <c r="W31" s="874"/>
    </row>
    <row r="32" spans="1:24" ht="13.5" thickBot="1">
      <c r="A32" s="614" t="s">
        <v>11</v>
      </c>
      <c r="B32" s="613">
        <v>60.504784000000001</v>
      </c>
      <c r="C32" s="539">
        <v>76.612935234714072</v>
      </c>
      <c r="D32" s="612">
        <f>G32</f>
        <v>11.340299</v>
      </c>
      <c r="E32" s="612">
        <f>I32</f>
        <v>45.225000000000001</v>
      </c>
      <c r="F32" s="540">
        <f>C32*A6</f>
        <v>116.45166155676539</v>
      </c>
      <c r="G32" s="635">
        <v>11.340299</v>
      </c>
      <c r="H32" s="539">
        <f>G32*(B16*J16+B16)*1000</f>
        <v>674.01186302000008</v>
      </c>
      <c r="I32" s="619">
        <v>45.225000000000001</v>
      </c>
      <c r="J32" s="540">
        <f>I32*(C16*J16+C16)/1000</f>
        <v>1906.4859879149997</v>
      </c>
      <c r="K32" s="619">
        <v>52.059387999999998</v>
      </c>
      <c r="L32" s="540">
        <f>K32*(D16*J16+D16)*1000</f>
        <v>65909.172765440002</v>
      </c>
      <c r="M32" s="542">
        <f>B32*0.05</f>
        <v>3.0252392000000001</v>
      </c>
      <c r="N32" s="543">
        <f>M32*(E16*J16+E16)*1000</f>
        <v>5020.282006499654</v>
      </c>
      <c r="O32" s="635">
        <v>8.1080000000000005</v>
      </c>
      <c r="P32" s="540">
        <f>O32*(G16*J16+G16)/1000</f>
        <v>10367.885637359999</v>
      </c>
      <c r="Q32" s="641">
        <v>72.691999999999993</v>
      </c>
      <c r="R32" s="540">
        <f>Q32*(F16*J16+F16)/1000</f>
        <v>14709.700123460003</v>
      </c>
      <c r="S32" s="611">
        <v>2.673</v>
      </c>
      <c r="T32" s="544">
        <f>S32*H16/1000</f>
        <v>698.93117000000007</v>
      </c>
      <c r="U32" s="545">
        <f>H32+J32+L32+N32+P32+R32+T32</f>
        <v>99286.469553694653</v>
      </c>
      <c r="V32" s="546"/>
      <c r="W32" s="545">
        <f>(U32-J32-H32)/(B32-G32)/1000</f>
        <v>1.9669884003210785</v>
      </c>
      <c r="X32" s="610"/>
    </row>
    <row r="33" spans="1:25" ht="13.5" thickBot="1">
      <c r="A33" s="609" t="s">
        <v>12</v>
      </c>
      <c r="B33" s="613">
        <v>55.267178000000001</v>
      </c>
      <c r="C33" s="549">
        <v>75.756985336342339</v>
      </c>
      <c r="D33" s="612">
        <f>G33</f>
        <v>8.8992020000000007</v>
      </c>
      <c r="E33" s="612">
        <f t="shared" ref="E33:E44" si="0">I33</f>
        <v>37.631</v>
      </c>
      <c r="F33" s="550">
        <f>C33*B6</f>
        <v>115.15061771124036</v>
      </c>
      <c r="G33" s="635">
        <v>8.8992020000000007</v>
      </c>
      <c r="H33" s="549">
        <f>G33*(B17*J17+B17)*1000</f>
        <v>1121.48026338</v>
      </c>
      <c r="I33" s="619">
        <v>37.631</v>
      </c>
      <c r="J33" s="550">
        <f>I33*(C17*J17+C17)/1000</f>
        <v>1646.3282803829402</v>
      </c>
      <c r="K33" s="619">
        <v>47.969192999999997</v>
      </c>
      <c r="L33" s="550">
        <f>K33*(D17*J17+D17)*1000</f>
        <v>70329.773782799995</v>
      </c>
      <c r="M33" s="552">
        <f>B33*0.05</f>
        <v>2.7633589000000001</v>
      </c>
      <c r="N33" s="553">
        <f>M33*(E17*J17+E17)*1000</f>
        <v>4968.1891538739592</v>
      </c>
      <c r="O33" s="635">
        <v>9.1709999999999994</v>
      </c>
      <c r="P33" s="550">
        <f>O33*(G17*J17+G17)/1000</f>
        <v>11709.299214760002</v>
      </c>
      <c r="Q33" s="641">
        <v>80.558999999999997</v>
      </c>
      <c r="R33" s="550">
        <f t="shared" ref="R33:R38" si="1">Q33*(F17*J17+F17)/1000</f>
        <v>16271.660355019998</v>
      </c>
      <c r="S33" s="608">
        <v>2.855</v>
      </c>
      <c r="T33" s="554">
        <f>S33*H17/1000</f>
        <v>746.02506999999991</v>
      </c>
      <c r="U33" s="555">
        <f>H33+J33+L33+N33+P33+R33+T33</f>
        <v>106792.75612021689</v>
      </c>
      <c r="V33" s="556"/>
      <c r="W33" s="555">
        <f t="shared" ref="W33:W48" si="2">(U33-J33-H33)/(B33-G33)/1000</f>
        <v>2.2434653515273979</v>
      </c>
      <c r="X33" s="610"/>
    </row>
    <row r="34" spans="1:25" ht="13.5" thickBot="1">
      <c r="A34" s="607" t="s">
        <v>13</v>
      </c>
      <c r="B34" s="613">
        <v>54.897188</v>
      </c>
      <c r="C34" s="559">
        <v>74.221480913723994</v>
      </c>
      <c r="D34" s="612">
        <f>G34</f>
        <v>9.4347910000000006</v>
      </c>
      <c r="E34" s="612">
        <f t="shared" si="0"/>
        <v>40.128999999999998</v>
      </c>
      <c r="F34" s="560">
        <f>C34*C6</f>
        <v>115.04329541627219</v>
      </c>
      <c r="G34" s="635">
        <v>9.4347910000000006</v>
      </c>
      <c r="H34" s="559">
        <f>G34*(B18*J18+B18)*1000</f>
        <v>1661.8130356200002</v>
      </c>
      <c r="I34" s="619">
        <v>40.128999999999998</v>
      </c>
      <c r="J34" s="560">
        <f>I34*(C18*J18+C18)/1000</f>
        <v>1691.6611654845997</v>
      </c>
      <c r="K34" s="619">
        <v>47.672322000000001</v>
      </c>
      <c r="L34" s="560">
        <f>K34*(D18*J18+D18)*1000</f>
        <v>63462.074816340006</v>
      </c>
      <c r="M34" s="562">
        <f>B34*0.05</f>
        <v>2.7448594000000002</v>
      </c>
      <c r="N34" s="563">
        <f>M34*(E18*J18+E18)*1000</f>
        <v>4546.3068462513593</v>
      </c>
      <c r="O34" s="635">
        <v>8.3539999999999992</v>
      </c>
      <c r="P34" s="560">
        <f>O34*(G18*J18+G18)/1000</f>
        <v>9686.6851638600001</v>
      </c>
      <c r="Q34" s="641">
        <v>76.533000000000001</v>
      </c>
      <c r="R34" s="560">
        <f t="shared" si="1"/>
        <v>14183.920407299998</v>
      </c>
      <c r="S34" s="608">
        <v>3.1909999999999998</v>
      </c>
      <c r="T34" s="564">
        <f>S34*H18/1000</f>
        <v>798.61503000000005</v>
      </c>
      <c r="U34" s="565">
        <f t="shared" ref="U34:U47" si="3">H34+J34+L34+N34+P34+R34+T34</f>
        <v>96031.076464855971</v>
      </c>
      <c r="V34" s="566"/>
      <c r="W34" s="565">
        <f t="shared" si="2"/>
        <v>2.0385551220220828</v>
      </c>
      <c r="X34" s="610"/>
    </row>
    <row r="35" spans="1:25" ht="13.5" thickBot="1">
      <c r="A35" s="616" t="s">
        <v>148</v>
      </c>
      <c r="B35" s="606">
        <f>SUM(B32:B34)</f>
        <v>170.66915</v>
      </c>
      <c r="C35" s="567">
        <v>75.530467161593478</v>
      </c>
      <c r="D35" s="634">
        <f>SUM(D32:D34)</f>
        <v>29.674292000000001</v>
      </c>
      <c r="E35" s="612">
        <f t="shared" si="0"/>
        <v>40.994999999999997</v>
      </c>
      <c r="F35" s="567">
        <f>SUM(F32:F34)/3</f>
        <v>115.54852489475932</v>
      </c>
      <c r="G35" s="634">
        <f t="shared" ref="G35:G48" si="4">D35</f>
        <v>29.674292000000001</v>
      </c>
      <c r="H35" s="567">
        <f t="shared" ref="H35:R35" si="5">SUM(H32:H34)</f>
        <v>3457.3051620200004</v>
      </c>
      <c r="I35" s="634">
        <f>SUM(I32:I34)/3</f>
        <v>40.994999999999997</v>
      </c>
      <c r="J35" s="567">
        <f t="shared" si="5"/>
        <v>5244.4754337825398</v>
      </c>
      <c r="K35" s="634">
        <f t="shared" si="5"/>
        <v>147.70090300000001</v>
      </c>
      <c r="L35" s="567">
        <f t="shared" si="5"/>
        <v>199701.02136458</v>
      </c>
      <c r="M35" s="568">
        <f t="shared" si="5"/>
        <v>8.5334575000000008</v>
      </c>
      <c r="N35" s="568">
        <f t="shared" si="5"/>
        <v>14534.778006624972</v>
      </c>
      <c r="O35" s="634">
        <f>SUM(O32:O34)/3</f>
        <v>8.5443333333333324</v>
      </c>
      <c r="P35" s="567">
        <f t="shared" si="5"/>
        <v>31763.870015979999</v>
      </c>
      <c r="Q35" s="642">
        <f>SUM(Q32:Q34)/3</f>
        <v>76.594666666666669</v>
      </c>
      <c r="R35" s="567">
        <f t="shared" si="5"/>
        <v>45165.280885779997</v>
      </c>
      <c r="S35" s="634">
        <f>SUM(S32:S34)/3</f>
        <v>2.9063333333333339</v>
      </c>
      <c r="T35" s="569">
        <f>SUM(T32:T34)</f>
        <v>2243.5712699999999</v>
      </c>
      <c r="U35" s="570">
        <f t="shared" si="3"/>
        <v>302110.3021387675</v>
      </c>
      <c r="V35" s="571"/>
      <c r="W35" s="570">
        <f t="shared" si="2"/>
        <v>2.0809873899299567</v>
      </c>
    </row>
    <row r="36" spans="1:25" ht="13.5" thickBot="1">
      <c r="A36" s="605" t="s">
        <v>14</v>
      </c>
      <c r="B36" s="613">
        <v>61.972044000000004</v>
      </c>
      <c r="C36" s="549">
        <v>77.827232855400652</v>
      </c>
      <c r="D36" s="604">
        <f>G36</f>
        <v>5.0058030000000002</v>
      </c>
      <c r="E36" s="612">
        <f t="shared" si="0"/>
        <v>23.742000000000001</v>
      </c>
      <c r="F36" s="550">
        <f>C36*D6</f>
        <v>140.08901913972119</v>
      </c>
      <c r="G36" s="635">
        <v>5.0058030000000002</v>
      </c>
      <c r="H36" s="559">
        <f>G36*(B19*J19+B19)*1000</f>
        <v>349.70988118000008</v>
      </c>
      <c r="I36" s="619">
        <v>23.742000000000001</v>
      </c>
      <c r="J36" s="550">
        <f>I36*(C19*J19+C19)/1000</f>
        <v>827.82137079812003</v>
      </c>
      <c r="K36" s="619">
        <v>58.606054999999998</v>
      </c>
      <c r="L36" s="550">
        <f>K36*(D19*J19+D19)*1000</f>
        <v>68582.661462040007</v>
      </c>
      <c r="M36" s="552">
        <f>B36*0.05</f>
        <v>3.0986022000000002</v>
      </c>
      <c r="N36" s="553">
        <f>M36*(E19*J19+E19)*1000</f>
        <v>4712.867275656271</v>
      </c>
      <c r="O36" s="635">
        <v>12.003</v>
      </c>
      <c r="P36" s="550">
        <f>O36*(G19*J19+G19)/1000</f>
        <v>12064.396630680001</v>
      </c>
      <c r="Q36" s="641">
        <v>117.26600000000001</v>
      </c>
      <c r="R36" s="550">
        <f t="shared" si="1"/>
        <v>18271.205419391612</v>
      </c>
      <c r="S36" s="608">
        <v>5.7789999999999999</v>
      </c>
      <c r="T36" s="554">
        <f>S36*H19/1000</f>
        <v>1319.26918</v>
      </c>
      <c r="U36" s="573">
        <f t="shared" si="3"/>
        <v>106127.93121974601</v>
      </c>
      <c r="V36" s="574"/>
      <c r="W36" s="573">
        <f t="shared" si="2"/>
        <v>1.8423262291041442</v>
      </c>
      <c r="X36" s="610"/>
    </row>
    <row r="37" spans="1:25" ht="13.5" thickBot="1">
      <c r="A37" s="609" t="s">
        <v>15</v>
      </c>
      <c r="B37" s="613">
        <v>65.447833000000003</v>
      </c>
      <c r="C37" s="549">
        <v>80.979136989316274</v>
      </c>
      <c r="D37" s="604">
        <f>G37</f>
        <v>3.7800880000000001</v>
      </c>
      <c r="E37" s="612">
        <f t="shared" si="0"/>
        <v>18.286999999999999</v>
      </c>
      <c r="F37" s="550">
        <f>C37*E6</f>
        <v>154.67015164959409</v>
      </c>
      <c r="G37" s="635">
        <v>3.7800880000000001</v>
      </c>
      <c r="H37" s="559">
        <f>G37*(B20*J20+B20)*1000</f>
        <v>239.79636811999998</v>
      </c>
      <c r="I37" s="619">
        <v>18.286999999999999</v>
      </c>
      <c r="J37" s="550">
        <f>I37*(C20*J20+C20)/1000</f>
        <v>770.8990439137998</v>
      </c>
      <c r="K37" s="619">
        <v>64.265876000000006</v>
      </c>
      <c r="L37" s="550">
        <f>K37*(D20*J20+D20)*1000</f>
        <v>51515.708832360004</v>
      </c>
      <c r="M37" s="552">
        <f>B37*0.05</f>
        <v>3.2723916500000003</v>
      </c>
      <c r="N37" s="553">
        <f>M37*(E20*J20+E20)*1000</f>
        <v>3815.0362235823472</v>
      </c>
      <c r="O37" s="635">
        <v>15.266999999999999</v>
      </c>
      <c r="P37" s="550">
        <f>O37*(G20*J20+G20)/1000</f>
        <v>14570.145102559998</v>
      </c>
      <c r="Q37" s="641">
        <v>146.65</v>
      </c>
      <c r="R37" s="550">
        <f t="shared" si="1"/>
        <v>21824.191909780791</v>
      </c>
      <c r="S37" s="603">
        <v>6.7629999999999999</v>
      </c>
      <c r="T37" s="554">
        <f>S37*H20/1000</f>
        <v>1410.3299099999999</v>
      </c>
      <c r="U37" s="555">
        <f t="shared" si="3"/>
        <v>94146.107390316931</v>
      </c>
      <c r="V37" s="556"/>
      <c r="W37" s="555">
        <f t="shared" si="2"/>
        <v>1.5102775685779191</v>
      </c>
      <c r="X37" s="610"/>
    </row>
    <row r="38" spans="1:25" ht="13.5" thickBot="1">
      <c r="A38" s="607" t="s">
        <v>16</v>
      </c>
      <c r="B38" s="613">
        <v>65.834119999999999</v>
      </c>
      <c r="C38" s="559">
        <v>83.331471627863678</v>
      </c>
      <c r="D38" s="602">
        <f>G38</f>
        <v>6.406587</v>
      </c>
      <c r="E38" s="612">
        <f t="shared" si="0"/>
        <v>31.03</v>
      </c>
      <c r="F38" s="560">
        <f>C38*F6</f>
        <v>165.82962853944872</v>
      </c>
      <c r="G38" s="635">
        <v>6.406587</v>
      </c>
      <c r="H38" s="559">
        <f>G38*(B21*J21+B21)*1000</f>
        <v>1630.9851145800001</v>
      </c>
      <c r="I38" s="619">
        <v>31.03</v>
      </c>
      <c r="J38" s="560">
        <f>I38*(C21*J21+C21)/1000</f>
        <v>1308.0875667219998</v>
      </c>
      <c r="K38" s="619">
        <v>63.686855000000001</v>
      </c>
      <c r="L38" s="560">
        <f>K38*(D21*J21+D21)*1000</f>
        <v>38470.0710808</v>
      </c>
      <c r="M38" s="562">
        <f>B38*0.05</f>
        <v>3.291706</v>
      </c>
      <c r="N38" s="563">
        <f>M38*(E21*J21+E21)*1000</f>
        <v>4244.311701130996</v>
      </c>
      <c r="O38" s="635">
        <v>14.81</v>
      </c>
      <c r="P38" s="560">
        <f>O38*(G21*J21+G21)/1000</f>
        <v>14249.55845862</v>
      </c>
      <c r="Q38" s="641">
        <v>139.15700000000001</v>
      </c>
      <c r="R38" s="560">
        <f t="shared" si="1"/>
        <v>20070.941616674019</v>
      </c>
      <c r="S38" s="603">
        <v>6.0970000000000004</v>
      </c>
      <c r="T38" s="564">
        <f>S38*H21/1000</f>
        <v>1236.7111200000002</v>
      </c>
      <c r="U38" s="565">
        <f t="shared" si="3"/>
        <v>81210.666658527029</v>
      </c>
      <c r="V38" s="566"/>
      <c r="W38" s="565">
        <f t="shared" si="2"/>
        <v>1.3170931052652823</v>
      </c>
      <c r="X38" s="610"/>
    </row>
    <row r="39" spans="1:25" ht="13.5" thickBot="1">
      <c r="A39" s="616" t="s">
        <v>149</v>
      </c>
      <c r="B39" s="606">
        <f>SUM(B36:B38)</f>
        <v>193.25399700000003</v>
      </c>
      <c r="C39" s="567">
        <v>80.712613824193525</v>
      </c>
      <c r="D39" s="634">
        <f>SUM(D36:D38)</f>
        <v>15.192477999999999</v>
      </c>
      <c r="E39" s="612">
        <f t="shared" si="0"/>
        <v>24.352999999999998</v>
      </c>
      <c r="F39" s="567">
        <f>SUM(F36:F38)/3</f>
        <v>153.52959977625466</v>
      </c>
      <c r="G39" s="634">
        <f t="shared" si="4"/>
        <v>15.192477999999999</v>
      </c>
      <c r="H39" s="567">
        <f t="shared" ref="H39:R39" si="6">SUM(H36:H38)</f>
        <v>2220.4913638799999</v>
      </c>
      <c r="I39" s="634">
        <f>SUM(I36:I38)/3</f>
        <v>24.352999999999998</v>
      </c>
      <c r="J39" s="567">
        <f t="shared" si="6"/>
        <v>2906.8079814339198</v>
      </c>
      <c r="K39" s="634">
        <f t="shared" si="6"/>
        <v>186.558786</v>
      </c>
      <c r="L39" s="567">
        <f t="shared" si="6"/>
        <v>158568.4413752</v>
      </c>
      <c r="M39" s="568">
        <f t="shared" si="6"/>
        <v>9.662699850000001</v>
      </c>
      <c r="N39" s="568">
        <f t="shared" si="6"/>
        <v>12772.215200369614</v>
      </c>
      <c r="O39" s="634">
        <f>SUM(O36:O38)/3</f>
        <v>14.026666666666666</v>
      </c>
      <c r="P39" s="567">
        <f t="shared" si="6"/>
        <v>40884.100191860001</v>
      </c>
      <c r="Q39" s="642">
        <f>SUM(Q36:Q38)/3</f>
        <v>134.35766666666666</v>
      </c>
      <c r="R39" s="567">
        <f t="shared" si="6"/>
        <v>60166.338945846423</v>
      </c>
      <c r="S39" s="634">
        <f>SUM(S36:S38)/3</f>
        <v>6.2130000000000001</v>
      </c>
      <c r="T39" s="569">
        <f>SUM(T36:T38)</f>
        <v>3966.3102099999996</v>
      </c>
      <c r="U39" s="570">
        <f t="shared" si="3"/>
        <v>281484.70526859001</v>
      </c>
      <c r="V39" s="571"/>
      <c r="W39" s="570">
        <f t="shared" si="2"/>
        <v>1.5520332943092328</v>
      </c>
    </row>
    <row r="40" spans="1:25" ht="13.5" thickBot="1">
      <c r="A40" s="605" t="s">
        <v>17</v>
      </c>
      <c r="B40" s="613">
        <v>64.404420000000002</v>
      </c>
      <c r="C40" s="549">
        <v>85.890091672956984</v>
      </c>
      <c r="D40" s="604">
        <v>5.0458410499999999</v>
      </c>
      <c r="E40" s="612">
        <f t="shared" si="0"/>
        <v>19.696999999999999</v>
      </c>
      <c r="F40" s="550">
        <f>C40*G6</f>
        <v>172.63908426264351</v>
      </c>
      <c r="G40" s="635">
        <v>5.4899170000000002</v>
      </c>
      <c r="H40" s="559">
        <f>G40*((B22*I22+B22)*J22+(B22*I22+B22))*1000</f>
        <v>104.15427983610002</v>
      </c>
      <c r="I40" s="619">
        <v>19.696999999999999</v>
      </c>
      <c r="J40" s="550">
        <f>I40*((C22*I22+C22)*J22+(C22*I22+C22))/1000</f>
        <v>1002.657129990997</v>
      </c>
      <c r="K40" s="619">
        <v>63.951866000000003</v>
      </c>
      <c r="L40" s="550">
        <f>K40*((D22*I22+D22)*J22+(D22*J22+D22))*1000</f>
        <v>47584.479039301412</v>
      </c>
      <c r="M40" s="552">
        <f>B40*0.05</f>
        <v>3.2202210000000004</v>
      </c>
      <c r="N40" s="553">
        <f>M40*((E22*I22+E22)*J22+(E22*J22+E22))*1000</f>
        <v>3830.0817957522531</v>
      </c>
      <c r="O40" s="635">
        <v>13.638999999999999</v>
      </c>
      <c r="P40" s="550">
        <f>O40*((G22*I22+G22)*J22+(G22*J22+G22))/1000</f>
        <v>14160.576936793001</v>
      </c>
      <c r="Q40" s="641">
        <v>139.15299999999999</v>
      </c>
      <c r="R40" s="550">
        <f>Q40*((F22*I22+F22)*J22+(F22*J22+F22))/1000</f>
        <v>22123.114963032298</v>
      </c>
      <c r="S40" s="603">
        <v>5.3360000000000003</v>
      </c>
      <c r="T40" s="554">
        <f>S40*H22/1000</f>
        <v>1066.50901</v>
      </c>
      <c r="U40" s="573">
        <f t="shared" si="3"/>
        <v>89871.573154706057</v>
      </c>
      <c r="V40" s="574"/>
      <c r="W40" s="573">
        <f t="shared" si="2"/>
        <v>1.5066708064206016</v>
      </c>
      <c r="X40" s="610"/>
    </row>
    <row r="41" spans="1:25" ht="13.5" thickBot="1">
      <c r="A41" s="609" t="s">
        <v>18</v>
      </c>
      <c r="B41" s="613">
        <v>68.498429999999999</v>
      </c>
      <c r="C41" s="549">
        <v>85.700210764635486</v>
      </c>
      <c r="D41" s="604">
        <v>4.4618536299999993</v>
      </c>
      <c r="E41" s="612">
        <f t="shared" si="0"/>
        <v>15.885999999999999</v>
      </c>
      <c r="F41" s="550">
        <f>C41*H6</f>
        <v>168.8294152063319</v>
      </c>
      <c r="G41" s="635">
        <v>4.4289959999999997</v>
      </c>
      <c r="H41" s="559">
        <f>G41*((B23*I23+B23)*J23+(B23*I23+B23))*1000</f>
        <v>84.026568589599989</v>
      </c>
      <c r="I41" s="619">
        <v>15.885999999999999</v>
      </c>
      <c r="J41" s="550">
        <f>I41*((C23*I23+C23)*J23+(C23*I23+C23))/1000</f>
        <v>759.00512126590831</v>
      </c>
      <c r="K41" s="619">
        <v>68.435588999999993</v>
      </c>
      <c r="L41" s="550">
        <f>K41*((D23*I23+D23)*J23+(D23*J23+D23))*1000</f>
        <v>62983.873475167398</v>
      </c>
      <c r="M41" s="552">
        <f>B41*0.05</f>
        <v>3.4249215</v>
      </c>
      <c r="N41" s="553">
        <f>M41*((E23*I23+E23)*J23+(E23*J23+E23))*1000</f>
        <v>4295.247719488726</v>
      </c>
      <c r="O41" s="635">
        <v>15.87</v>
      </c>
      <c r="P41" s="550">
        <f>O41*((G23*I23+G23)*J23+(G23*J23+G23))/1000</f>
        <v>16862.008161802998</v>
      </c>
      <c r="Q41" s="641">
        <v>161.749</v>
      </c>
      <c r="R41" s="550">
        <f>Q41*((F23*I23+F23)*J23+(F23*J23+F23))/1000</f>
        <v>26330.592355913301</v>
      </c>
      <c r="S41" s="603">
        <v>6.2919999999999998</v>
      </c>
      <c r="T41" s="554">
        <f>S41*H23/1000</f>
        <v>1273.6561000000002</v>
      </c>
      <c r="U41" s="555">
        <f t="shared" si="3"/>
        <v>112588.40950222794</v>
      </c>
      <c r="V41" s="556"/>
      <c r="W41" s="555">
        <f t="shared" si="2"/>
        <v>1.744129311527435</v>
      </c>
      <c r="X41" s="610"/>
    </row>
    <row r="42" spans="1:25" ht="13.5" thickBot="1">
      <c r="A42" s="609" t="s">
        <v>19</v>
      </c>
      <c r="B42" s="613">
        <v>74.165007000000003</v>
      </c>
      <c r="C42" s="559">
        <v>98.100084830242224</v>
      </c>
      <c r="D42" s="602">
        <v>5.4511710799999999</v>
      </c>
      <c r="E42" s="612">
        <f t="shared" si="0"/>
        <v>18.096</v>
      </c>
      <c r="F42" s="560">
        <f>C42*I6</f>
        <v>176.58015269443601</v>
      </c>
      <c r="G42" s="635">
        <v>5.0882160000000001</v>
      </c>
      <c r="H42" s="559">
        <f>G42*((B24*I24+B24)*J24+(B24*I24+B24))*1000</f>
        <v>1392.7842094972</v>
      </c>
      <c r="I42" s="619">
        <v>18.096</v>
      </c>
      <c r="J42" s="560">
        <f>I42*((C24*I24+C24)*J24+(C24*I24+C24))/1000</f>
        <v>921.15974129649589</v>
      </c>
      <c r="K42" s="619">
        <v>71.569282000000001</v>
      </c>
      <c r="L42" s="560">
        <f>K42*((D24*I24+D24)*J24+(D24*J24+D24))*1000</f>
        <v>74969.164239722202</v>
      </c>
      <c r="M42" s="562">
        <f>B42*0.05</f>
        <v>3.7082503500000001</v>
      </c>
      <c r="N42" s="563">
        <f>M42*((E24*I24+E24)*J24+(E24*J24+E24))*1000</f>
        <v>4745.7808383030952</v>
      </c>
      <c r="O42" s="635">
        <v>15.311</v>
      </c>
      <c r="P42" s="560">
        <f>O42*((G24*I24+G24)*J24+(G24*J24+G24))/1000</f>
        <v>17723.100398896902</v>
      </c>
      <c r="Q42" s="641">
        <v>154.20599999999999</v>
      </c>
      <c r="R42" s="560">
        <f>Q42*((F24*I24+F24)*J24+(F24*J24+F24))/1000</f>
        <v>28083.614077663202</v>
      </c>
      <c r="S42" s="603">
        <v>5.3849999999999998</v>
      </c>
      <c r="T42" s="564">
        <f>S42*H24/1000</f>
        <v>1201.8285700000001</v>
      </c>
      <c r="U42" s="565">
        <f t="shared" si="3"/>
        <v>129037.43207537908</v>
      </c>
      <c r="V42" s="566"/>
      <c r="W42" s="565">
        <f t="shared" si="2"/>
        <v>1.8345306186065504</v>
      </c>
      <c r="X42" s="610"/>
    </row>
    <row r="43" spans="1:25" ht="13.5" thickBot="1">
      <c r="A43" s="616" t="s">
        <v>150</v>
      </c>
      <c r="B43" s="606">
        <f>SUM(B40:B42)</f>
        <v>207.067857</v>
      </c>
      <c r="C43" s="567">
        <v>89.896795755944893</v>
      </c>
      <c r="D43" s="634">
        <f>SUM(D40:D42)</f>
        <v>14.95886576</v>
      </c>
      <c r="E43" s="612">
        <f t="shared" si="0"/>
        <v>17.893000000000001</v>
      </c>
      <c r="F43" s="567">
        <f>SUM(F40:F42)/3</f>
        <v>172.68288405447049</v>
      </c>
      <c r="G43" s="634">
        <f t="shared" si="4"/>
        <v>14.95886576</v>
      </c>
      <c r="H43" s="567">
        <f t="shared" ref="H43:R43" si="7">SUM(H40:H42)</f>
        <v>1580.9650579229001</v>
      </c>
      <c r="I43" s="634">
        <f>SUM(I40:I42)/3</f>
        <v>17.893000000000001</v>
      </c>
      <c r="J43" s="567">
        <f t="shared" si="7"/>
        <v>2682.8219925534013</v>
      </c>
      <c r="K43" s="634">
        <f t="shared" si="7"/>
        <v>203.95673699999998</v>
      </c>
      <c r="L43" s="567">
        <f t="shared" si="7"/>
        <v>185537.51675419102</v>
      </c>
      <c r="M43" s="568">
        <f t="shared" si="7"/>
        <v>10.353392850000001</v>
      </c>
      <c r="N43" s="568">
        <f t="shared" si="7"/>
        <v>12871.110353544074</v>
      </c>
      <c r="O43" s="634">
        <f>SUM(O40:O42)/3</f>
        <v>14.94</v>
      </c>
      <c r="P43" s="567">
        <f t="shared" si="7"/>
        <v>48745.685497492901</v>
      </c>
      <c r="Q43" s="642">
        <f>SUM(Q40:Q42)/3</f>
        <v>151.70266666666666</v>
      </c>
      <c r="R43" s="567">
        <f t="shared" si="7"/>
        <v>76537.321396608808</v>
      </c>
      <c r="S43" s="634">
        <f>SUM(S40:S42)/3</f>
        <v>5.6709999999999994</v>
      </c>
      <c r="T43" s="569">
        <f>SUM(T40:T42)</f>
        <v>3541.99368</v>
      </c>
      <c r="U43" s="570">
        <f t="shared" si="3"/>
        <v>331497.41473231307</v>
      </c>
      <c r="V43" s="571"/>
      <c r="W43" s="570">
        <f t="shared" si="2"/>
        <v>1.7033748684517678</v>
      </c>
    </row>
    <row r="44" spans="1:25">
      <c r="A44" s="609" t="s">
        <v>20</v>
      </c>
      <c r="B44" s="601">
        <v>79.338286999999994</v>
      </c>
      <c r="C44" s="549">
        <v>100.25386813402297</v>
      </c>
      <c r="D44" s="604">
        <v>5.9225159999999999</v>
      </c>
      <c r="E44" s="612">
        <f t="shared" si="0"/>
        <v>21.689</v>
      </c>
      <c r="F44" s="550">
        <f>C44*J6</f>
        <v>163.41380505845743</v>
      </c>
      <c r="G44" s="622">
        <v>5.9225159999999999</v>
      </c>
      <c r="H44" s="559">
        <f>G44*((B25*I25+B25)*J25+(B25*I25+B25))*1000</f>
        <v>351.9146464635665</v>
      </c>
      <c r="I44" s="604">
        <v>21.689</v>
      </c>
      <c r="J44" s="550">
        <f>I44*((C25*I25+C25)*J25+(C25*I25+C25))/1000</f>
        <v>1104.0580033697888</v>
      </c>
      <c r="K44" s="622">
        <v>72.526469000000006</v>
      </c>
      <c r="L44" s="550">
        <f>K44*((D25*I25+D25)*J25+(D25*J25+D25))*1000</f>
        <v>93183.717792206735</v>
      </c>
      <c r="M44" s="552">
        <f>B44*0.05</f>
        <v>3.9669143499999997</v>
      </c>
      <c r="N44" s="553">
        <f>M44*((E25*I25+E25)*J25+(E25*J25+E25))*1000</f>
        <v>5082.5336876037773</v>
      </c>
      <c r="O44" s="622">
        <v>17.111999999999998</v>
      </c>
      <c r="P44" s="550">
        <f>O44*((G25*I25+G25)*J25+(G25*J25+G25))/1000</f>
        <v>24397.6656694946</v>
      </c>
      <c r="Q44" s="643">
        <v>139.304</v>
      </c>
      <c r="R44" s="550">
        <f>Q44*((F25*I25+F25)*J25+(F25*J25+F25))/1000</f>
        <v>27090.742495684703</v>
      </c>
      <c r="S44" s="622">
        <v>4.4459999999999997</v>
      </c>
      <c r="T44" s="554">
        <f>S44*H25/1000</f>
        <v>1081.75199</v>
      </c>
      <c r="U44" s="573">
        <f t="shared" si="3"/>
        <v>152292.38428482317</v>
      </c>
      <c r="V44" s="574"/>
      <c r="W44" s="573">
        <f t="shared" si="2"/>
        <v>2.0545505356742741</v>
      </c>
      <c r="X44" s="610"/>
    </row>
    <row r="45" spans="1:25">
      <c r="A45" s="609" t="s">
        <v>21</v>
      </c>
      <c r="B45" s="548">
        <v>60.915835346592964</v>
      </c>
      <c r="C45" s="549">
        <v>78.774982203357709</v>
      </c>
      <c r="D45" s="549">
        <v>6.479900119999999</v>
      </c>
      <c r="E45" s="549">
        <v>12.959800239999998</v>
      </c>
      <c r="F45" s="550">
        <f>C45*K6</f>
        <v>118.16247330503657</v>
      </c>
      <c r="G45" s="551">
        <f t="shared" si="4"/>
        <v>6.479900119999999</v>
      </c>
      <c r="H45" s="559">
        <f>G45*((B26*I26+B26)*J26+(B26*I26+B26))*1000</f>
        <v>1575.0409847358628</v>
      </c>
      <c r="I45" s="549">
        <f>(C45-E45)*E10+E45</f>
        <v>12.959800239999998</v>
      </c>
      <c r="J45" s="550">
        <f>I45*((C26*I26+C26)*J26+(C26*I26+C26))/1000</f>
        <v>659.70635700335242</v>
      </c>
      <c r="K45" s="551">
        <f>B45-G45</f>
        <v>54.435935226592967</v>
      </c>
      <c r="L45" s="550">
        <f>K45*((D26*I26+D26)*J26+(D26*J26+D26))*1000</f>
        <v>96720.549107230516</v>
      </c>
      <c r="M45" s="552">
        <f>B45*0.05</f>
        <v>3.0457917673296482</v>
      </c>
      <c r="N45" s="553">
        <f>M45*((E26*I26+E26)*J26+(E26*J26+E26))*1000</f>
        <v>5411.694517163226</v>
      </c>
      <c r="O45" s="551">
        <v>3.173</v>
      </c>
      <c r="P45" s="550">
        <f>O45*((G26*I26+G26)*J26+(G26*J26+G26))/1000</f>
        <v>3804.6997343428529</v>
      </c>
      <c r="Q45" s="551">
        <f>F45-I45-O45-S45</f>
        <v>96.451696558580778</v>
      </c>
      <c r="R45" s="550">
        <f>Q45*((F26*I26+F26)*J26+(F26*J26+F26))/1000</f>
        <v>11503.787270674862</v>
      </c>
      <c r="S45" s="551">
        <f>'[1]Расчет объема ВР'!L11</f>
        <v>5.5779765064557996</v>
      </c>
      <c r="T45" s="554">
        <f>S45*H26/1000</f>
        <v>1369.6775526944471</v>
      </c>
      <c r="U45" s="555">
        <f>H45+J45+L45+N45+P45+R45+T45</f>
        <v>121045.15552384511</v>
      </c>
      <c r="V45" s="556"/>
      <c r="W45" s="555">
        <f t="shared" si="2"/>
        <v>2.1825731052024766</v>
      </c>
      <c r="X45" s="610"/>
      <c r="Y45" s="610"/>
    </row>
    <row r="46" spans="1:25" ht="13.5" thickBot="1">
      <c r="A46" s="620" t="s">
        <v>22</v>
      </c>
      <c r="B46" s="576">
        <v>61.122216989613065</v>
      </c>
      <c r="C46" s="577">
        <v>76.763652890881033</v>
      </c>
      <c r="D46" s="577">
        <v>9.3079172099999994</v>
      </c>
      <c r="E46" s="577">
        <v>18.615834419999999</v>
      </c>
      <c r="F46" s="578">
        <f>C46*L6</f>
        <v>107.46911404723345</v>
      </c>
      <c r="G46" s="579">
        <f t="shared" si="4"/>
        <v>9.3079172099999994</v>
      </c>
      <c r="H46" s="559">
        <f>G46*((B27*I27+B27)*J27+(B27*I27+B27))*1000</f>
        <v>1263.3289625043196</v>
      </c>
      <c r="I46" s="577">
        <f>(C46-E46)*E10+E46</f>
        <v>18.615834419999999</v>
      </c>
      <c r="J46" s="578">
        <f>I46*((C27*I27+C27)*J27+(C27*I27+C27))/1000</f>
        <v>816.3197877973904</v>
      </c>
      <c r="K46" s="579">
        <f>B46-G46</f>
        <v>51.814299779613066</v>
      </c>
      <c r="L46" s="578">
        <f>K46*((D27*I27+D27)*J27+(D27*J27+D27))*1000</f>
        <v>94483.779629899873</v>
      </c>
      <c r="M46" s="580">
        <f>B46*0.05</f>
        <v>3.0561108494806533</v>
      </c>
      <c r="N46" s="581">
        <f>M46*((E27*I27+E27)*J27+(E27*J27+E27))*1000</f>
        <v>5572.8419616796464</v>
      </c>
      <c r="O46" s="579">
        <v>3.504</v>
      </c>
      <c r="P46" s="578">
        <f>O46*((G27*I27+G27)*J27+(G27*J27+G27))/1000</f>
        <v>4354.54798762269</v>
      </c>
      <c r="Q46" s="579">
        <f>F46-I46-O46-S46</f>
        <v>80.912424170801216</v>
      </c>
      <c r="R46" s="578">
        <f>Q46*((F27*I27+F27)*J27+(F27*J27+F27))/1000</f>
        <v>10365.727455530228</v>
      </c>
      <c r="S46" s="579">
        <f>'[1]Расчет объема ВР'!M11</f>
        <v>4.4368554564322285</v>
      </c>
      <c r="T46" s="582">
        <f>S46*H27/1000</f>
        <v>1165.9318325338108</v>
      </c>
      <c r="U46" s="565">
        <f t="shared" si="3"/>
        <v>118022.47761756796</v>
      </c>
      <c r="V46" s="566"/>
      <c r="W46" s="565">
        <f t="shared" si="2"/>
        <v>2.2376608264594422</v>
      </c>
      <c r="X46" s="610"/>
      <c r="Y46" s="610"/>
    </row>
    <row r="47" spans="1:25" ht="13.5" thickBot="1">
      <c r="A47" s="616" t="s">
        <v>151</v>
      </c>
      <c r="B47" s="583">
        <v>202.49955418912069</v>
      </c>
      <c r="C47" s="583">
        <v>85.264167742753898</v>
      </c>
      <c r="D47" s="583">
        <v>21.750986349999998</v>
      </c>
      <c r="E47" s="583">
        <v>14.500657566666666</v>
      </c>
      <c r="F47" s="583">
        <f>SUM(F44:F46)/3</f>
        <v>129.68179747024249</v>
      </c>
      <c r="G47" s="583">
        <f t="shared" si="4"/>
        <v>21.750986349999998</v>
      </c>
      <c r="H47" s="584">
        <f t="shared" ref="H47:R47" si="8">SUM(H44:H46)</f>
        <v>3190.2845937037491</v>
      </c>
      <c r="I47" s="583">
        <f>SUM(I44:I46)/3</f>
        <v>17.754878219999998</v>
      </c>
      <c r="J47" s="583">
        <f t="shared" si="8"/>
        <v>2580.0841481705315</v>
      </c>
      <c r="K47" s="583">
        <f t="shared" si="8"/>
        <v>178.77670400620605</v>
      </c>
      <c r="L47" s="583">
        <f t="shared" si="8"/>
        <v>284388.04652933712</v>
      </c>
      <c r="M47" s="585">
        <f t="shared" si="8"/>
        <v>10.068816966810301</v>
      </c>
      <c r="N47" s="585">
        <f t="shared" si="8"/>
        <v>16067.070166446651</v>
      </c>
      <c r="O47" s="583">
        <f>SUM(O44:O46)/3</f>
        <v>7.929666666666666</v>
      </c>
      <c r="P47" s="583">
        <f t="shared" si="8"/>
        <v>32556.913391460141</v>
      </c>
      <c r="Q47" s="583">
        <f>SUM(Q44:Q46)/3</f>
        <v>105.55604024312733</v>
      </c>
      <c r="R47" s="583">
        <f t="shared" si="8"/>
        <v>48960.257221889791</v>
      </c>
      <c r="S47" s="583">
        <f>SUM(S44:S46)/3</f>
        <v>4.8202773209626759</v>
      </c>
      <c r="T47" s="586">
        <f>SUM(T44:T46)</f>
        <v>3617.3613752282581</v>
      </c>
      <c r="U47" s="570">
        <f t="shared" si="3"/>
        <v>391360.0174262363</v>
      </c>
      <c r="V47" s="571"/>
      <c r="W47" s="570">
        <f t="shared" si="2"/>
        <v>2.133292967651975</v>
      </c>
      <c r="Y47" s="610"/>
    </row>
    <row r="48" spans="1:25" ht="13.5" thickBot="1">
      <c r="A48" s="616" t="s">
        <v>152</v>
      </c>
      <c r="B48" s="567">
        <v>765.60375086835325</v>
      </c>
      <c r="C48" s="567">
        <v>82.851011121121402</v>
      </c>
      <c r="D48" s="567">
        <v>79.889751103999998</v>
      </c>
      <c r="E48" s="567">
        <v>13.3149585173333</v>
      </c>
      <c r="F48" s="567">
        <f>(F35+F39+F43+F47)/4</f>
        <v>142.86070154893173</v>
      </c>
      <c r="G48" s="567">
        <f t="shared" si="4"/>
        <v>79.889751103999998</v>
      </c>
      <c r="H48" s="567">
        <f t="shared" ref="H48:R48" si="9">H35+H39+H43+H47</f>
        <v>10449.046177526649</v>
      </c>
      <c r="I48" s="567">
        <f>(I35+I39+I43+I47)/4</f>
        <v>25.248969554999999</v>
      </c>
      <c r="J48" s="567">
        <f t="shared" si="9"/>
        <v>13414.189555940393</v>
      </c>
      <c r="K48" s="567">
        <f t="shared" si="9"/>
        <v>716.993130006206</v>
      </c>
      <c r="L48" s="567">
        <f t="shared" si="9"/>
        <v>828195.02602330805</v>
      </c>
      <c r="M48" s="568">
        <f t="shared" si="9"/>
        <v>38.618367166810302</v>
      </c>
      <c r="N48" s="568">
        <f t="shared" si="9"/>
        <v>56245.173726985304</v>
      </c>
      <c r="O48" s="567">
        <f>(O35+O39+O43+O47)/4</f>
        <v>11.360166666666665</v>
      </c>
      <c r="P48" s="567">
        <f t="shared" si="9"/>
        <v>153950.56909679304</v>
      </c>
      <c r="Q48" s="567">
        <f>(Q35+Q39+Q43+Q47)/4</f>
        <v>117.05276006078182</v>
      </c>
      <c r="R48" s="567">
        <f t="shared" si="9"/>
        <v>230829.19845012503</v>
      </c>
      <c r="S48" s="567">
        <f>(S35+S39+S43+S47)/4</f>
        <v>4.9026526635740026</v>
      </c>
      <c r="T48" s="569">
        <f>T35+T39+T43+T47</f>
        <v>13369.236535228258</v>
      </c>
      <c r="U48" s="587">
        <f>H48+J48+L48+N48+P48+R48+T48</f>
        <v>1306452.4395659068</v>
      </c>
      <c r="V48" s="588"/>
      <c r="W48" s="589">
        <f t="shared" si="2"/>
        <v>1.8704433689164921</v>
      </c>
    </row>
    <row r="49" spans="2:21">
      <c r="U49" s="610"/>
    </row>
    <row r="50" spans="2:21">
      <c r="B50" s="633"/>
      <c r="C50" s="633"/>
    </row>
    <row r="51" spans="2:21">
      <c r="B51" s="633"/>
      <c r="C51" s="633"/>
      <c r="D51" s="590"/>
      <c r="H51" s="621"/>
      <c r="J51" s="621"/>
      <c r="L51" s="621"/>
      <c r="M51" s="610"/>
      <c r="N51" s="621"/>
      <c r="P51" s="621"/>
      <c r="R51" s="621"/>
      <c r="S51" s="621"/>
      <c r="T51" s="621"/>
      <c r="U51" s="610"/>
    </row>
    <row r="52" spans="2:21">
      <c r="B52" s="633"/>
      <c r="C52" s="633"/>
    </row>
  </sheetData>
  <mergeCells count="14">
    <mergeCell ref="W30:W31"/>
    <mergeCell ref="A2:N2"/>
    <mergeCell ref="B14:C14"/>
    <mergeCell ref="B30:F30"/>
    <mergeCell ref="G30:J30"/>
    <mergeCell ref="K30:L30"/>
    <mergeCell ref="M30:N30"/>
    <mergeCell ref="A11:F11"/>
    <mergeCell ref="A12:E12"/>
    <mergeCell ref="O30:P30"/>
    <mergeCell ref="Q30:R30"/>
    <mergeCell ref="S30:T30"/>
    <mergeCell ref="U30:U31"/>
    <mergeCell ref="V30:V3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C13" workbookViewId="0">
      <selection activeCell="F4" sqref="F4"/>
    </sheetView>
  </sheetViews>
  <sheetFormatPr defaultRowHeight="15" outlineLevelCol="1"/>
  <cols>
    <col min="1" max="1" width="23.5703125" style="186" customWidth="1"/>
    <col min="2" max="2" width="17.28515625" style="186" customWidth="1"/>
    <col min="3" max="3" width="19.28515625" style="186" customWidth="1"/>
    <col min="4" max="4" width="17.28515625" style="186" hidden="1" customWidth="1"/>
    <col min="5" max="5" width="17.28515625" style="186" customWidth="1"/>
    <col min="6" max="9" width="17.28515625" style="186" customWidth="1" outlineLevel="1"/>
    <col min="10" max="10" width="18.5703125" style="186" customWidth="1"/>
    <col min="11" max="11" width="16.140625" style="186" customWidth="1"/>
    <col min="12" max="12" width="21.140625" style="186" customWidth="1"/>
    <col min="13" max="13" width="13.5703125" style="186" bestFit="1" customWidth="1"/>
    <col min="14" max="14" width="10.28515625" style="186" bestFit="1" customWidth="1"/>
    <col min="15" max="15" width="32.85546875" style="186" customWidth="1"/>
    <col min="16" max="16" width="28.28515625" style="186" customWidth="1"/>
    <col min="17" max="16384" width="9.140625" style="186"/>
  </cols>
  <sheetData>
    <row r="1" spans="1:16" ht="57">
      <c r="A1" s="894" t="s">
        <v>153</v>
      </c>
      <c r="B1" s="896" t="s">
        <v>89</v>
      </c>
      <c r="C1" s="898" t="s">
        <v>154</v>
      </c>
      <c r="D1" s="899"/>
      <c r="E1" s="180" t="s">
        <v>155</v>
      </c>
      <c r="F1" s="181" t="s">
        <v>156</v>
      </c>
      <c r="G1" s="181" t="s">
        <v>157</v>
      </c>
      <c r="H1" s="181" t="s">
        <v>158</v>
      </c>
      <c r="I1" s="182" t="s">
        <v>159</v>
      </c>
      <c r="J1" s="183" t="s">
        <v>160</v>
      </c>
      <c r="K1" s="184"/>
      <c r="L1" s="185"/>
      <c r="M1" s="893" t="s">
        <v>161</v>
      </c>
      <c r="N1" s="893"/>
    </row>
    <row r="2" spans="1:16">
      <c r="A2" s="895"/>
      <c r="B2" s="897"/>
      <c r="C2" s="187" t="s">
        <v>162</v>
      </c>
      <c r="D2" s="188" t="s">
        <v>163</v>
      </c>
      <c r="E2" s="189"/>
      <c r="F2" s="188"/>
      <c r="G2" s="188"/>
      <c r="H2" s="188"/>
      <c r="I2" s="187"/>
      <c r="J2" s="190"/>
      <c r="K2" s="184"/>
      <c r="L2" s="185"/>
      <c r="M2" s="191"/>
      <c r="N2" s="191"/>
    </row>
    <row r="3" spans="1:16" ht="15.75">
      <c r="A3" s="192" t="s">
        <v>164</v>
      </c>
      <c r="B3" s="193">
        <f>[2]Электроэнергия!C29+[2]Электроэнергия!C31</f>
        <v>9179.8366040000001</v>
      </c>
      <c r="C3" s="194">
        <f>'[2]прогнозный баланс'!K7</f>
        <v>9087.8485250073118</v>
      </c>
      <c r="D3" s="195"/>
      <c r="E3" s="196">
        <f>SUM(F3:I3)</f>
        <v>42764.594162979272</v>
      </c>
      <c r="F3" s="195">
        <f>[2]Электроэнергия!C23</f>
        <v>2713.2883725970755</v>
      </c>
      <c r="G3" s="195">
        <f>[2]Электроэнергия!C18</f>
        <v>3020.7526986412004</v>
      </c>
      <c r="H3" s="195">
        <f>[2]Электроэнергия!C13</f>
        <v>10428.065231748998</v>
      </c>
      <c r="I3" s="194">
        <f>[2]Электроэнергия!C8+[2]Электроэнергия!C30-[2]Электроэнергия!C31</f>
        <v>26602.487859991998</v>
      </c>
      <c r="J3" s="194">
        <f>B3+C3+E3+D3</f>
        <v>61032.279291986582</v>
      </c>
      <c r="K3" s="184"/>
      <c r="L3" s="185" t="s">
        <v>156</v>
      </c>
      <c r="M3" s="197">
        <v>24</v>
      </c>
      <c r="N3" s="197">
        <v>24</v>
      </c>
    </row>
    <row r="4" spans="1:16" ht="15.75">
      <c r="A4" s="198" t="s">
        <v>165</v>
      </c>
      <c r="B4" s="199">
        <v>6.4380000000000007E-2</v>
      </c>
      <c r="C4" s="200">
        <v>2.742E-2</v>
      </c>
      <c r="D4" s="201"/>
      <c r="E4" s="202"/>
      <c r="F4" s="203">
        <f>$M$3/100*$M$8*$M$10</f>
        <v>9.0895605640253063E-2</v>
      </c>
      <c r="G4" s="203">
        <f>$M$4/100*$M$8*$M$10</f>
        <v>8.5593361977904986E-2</v>
      </c>
      <c r="H4" s="203">
        <f>$M$5/100*$M$8*$M$10</f>
        <v>5.434799753906798E-2</v>
      </c>
      <c r="I4" s="204">
        <f>$M$6/100*$M$8*$M$10</f>
        <v>2.9048720635864212E-2</v>
      </c>
      <c r="J4" s="204">
        <f t="shared" ref="J4:J41" si="0">B4+C4+E4+D4</f>
        <v>9.1800000000000007E-2</v>
      </c>
      <c r="K4" s="184"/>
      <c r="L4" s="185" t="s">
        <v>157</v>
      </c>
      <c r="M4" s="197">
        <v>22.6</v>
      </c>
      <c r="N4" s="197">
        <v>22.6</v>
      </c>
    </row>
    <row r="5" spans="1:16" ht="15.75">
      <c r="A5" s="205" t="s">
        <v>166</v>
      </c>
      <c r="B5" s="206">
        <f>B3*B4</f>
        <v>590.99788056552006</v>
      </c>
      <c r="C5" s="206">
        <f>C3*C4</f>
        <v>249.18880655570049</v>
      </c>
      <c r="D5" s="207"/>
      <c r="E5" s="207">
        <f>SUM(F5:I5)</f>
        <v>1844.695070700609</v>
      </c>
      <c r="F5" s="184">
        <f>F4*F3</f>
        <v>246.6259899038678</v>
      </c>
      <c r="G5" s="184">
        <f>G4*G3</f>
        <v>258.55637918052958</v>
      </c>
      <c r="H5" s="184">
        <f>H4*H3</f>
        <v>566.74446355233488</v>
      </c>
      <c r="I5" s="208">
        <f>I4*I3</f>
        <v>772.76823806387677</v>
      </c>
      <c r="J5" s="208">
        <f t="shared" si="0"/>
        <v>2684.8817578218295</v>
      </c>
      <c r="K5" s="184"/>
      <c r="L5" s="185" t="s">
        <v>158</v>
      </c>
      <c r="M5" s="197">
        <v>14.35</v>
      </c>
      <c r="N5" s="186">
        <v>14.35</v>
      </c>
      <c r="P5" s="209">
        <f>J5+'[2]СН МГЭС'!D5</f>
        <v>2708.9423086539045</v>
      </c>
    </row>
    <row r="6" spans="1:16" ht="15.75">
      <c r="A6" s="210" t="s">
        <v>167</v>
      </c>
      <c r="B6" s="211">
        <f>[2]Электроэнергия!D29+[2]Электроэнергия!D31</f>
        <v>8647.7210400000004</v>
      </c>
      <c r="C6" s="211">
        <f>'[2]прогнозный баланс'!K8</f>
        <v>7591.9765017157815</v>
      </c>
      <c r="D6" s="212"/>
      <c r="E6" s="213">
        <f>SUM(F6:I6)</f>
        <v>39825.48492907027</v>
      </c>
      <c r="F6" s="212">
        <f>[2]Электроэнергия!D23</f>
        <v>2705.5785261399988</v>
      </c>
      <c r="G6" s="212">
        <f>[2]Электроэнергия!D18</f>
        <v>2828.2261182379998</v>
      </c>
      <c r="H6" s="212">
        <f>[2]Электроэнергия!D13</f>
        <v>10074.340156221824</v>
      </c>
      <c r="I6" s="211">
        <f>[2]Электроэнергия!D8+[2]Электроэнергия!D30-[2]Электроэнергия!D31</f>
        <v>24217.340128470445</v>
      </c>
      <c r="J6" s="211">
        <f t="shared" si="0"/>
        <v>56065.182470786051</v>
      </c>
      <c r="K6" s="184"/>
      <c r="L6" s="185" t="s">
        <v>159</v>
      </c>
      <c r="M6" s="197">
        <v>7.67</v>
      </c>
      <c r="N6" s="186">
        <v>7.67</v>
      </c>
    </row>
    <row r="7" spans="1:16" ht="15.75">
      <c r="A7" s="198" t="s">
        <v>165</v>
      </c>
      <c r="B7" s="214">
        <f>B4</f>
        <v>6.4380000000000007E-2</v>
      </c>
      <c r="C7" s="215">
        <f>C4</f>
        <v>2.742E-2</v>
      </c>
      <c r="D7" s="216"/>
      <c r="E7" s="202"/>
      <c r="F7" s="203">
        <f>$M$3/100*$M$8*$M$11</f>
        <v>0.10363536002835005</v>
      </c>
      <c r="G7" s="203">
        <f>$M$4/100*$M$8*$M$11</f>
        <v>9.7589964026696313E-2</v>
      </c>
      <c r="H7" s="203">
        <f>$M$5/100*$M$8*$M$11</f>
        <v>6.1965309016950965E-2</v>
      </c>
      <c r="I7" s="204">
        <f>$M$6/100*$M$8*$M$11</f>
        <v>3.3120133809060211E-2</v>
      </c>
      <c r="J7" s="204">
        <f t="shared" si="0"/>
        <v>9.1800000000000007E-2</v>
      </c>
      <c r="K7" s="184"/>
      <c r="L7" s="185"/>
      <c r="M7" s="893" t="s">
        <v>168</v>
      </c>
      <c r="N7" s="893"/>
    </row>
    <row r="8" spans="1:16" ht="15.75">
      <c r="A8" s="205" t="s">
        <v>166</v>
      </c>
      <c r="B8" s="206">
        <f>B6*B7</f>
        <v>556.74028055520012</v>
      </c>
      <c r="C8" s="206">
        <f>C6*C7</f>
        <v>208.17199567704674</v>
      </c>
      <c r="D8" s="206">
        <f>D6*D7</f>
        <v>0</v>
      </c>
      <c r="E8" s="207">
        <f>SUM(F8:I8)</f>
        <v>1982.7412362563289</v>
      </c>
      <c r="F8" s="184">
        <f>F7*F6</f>
        <v>280.39360464149149</v>
      </c>
      <c r="G8" s="184">
        <f>G7*G6</f>
        <v>276.00648513820937</v>
      </c>
      <c r="H8" s="184">
        <f>H7*H6</f>
        <v>624.25960092216337</v>
      </c>
      <c r="I8" s="208">
        <f>I7*I6</f>
        <v>802.08154555446458</v>
      </c>
      <c r="J8" s="208">
        <f t="shared" si="0"/>
        <v>2747.6535124885759</v>
      </c>
      <c r="K8" s="184"/>
      <c r="L8" s="185"/>
      <c r="M8" s="186">
        <v>0.21</v>
      </c>
      <c r="N8" s="197">
        <v>0.61040016494389704</v>
      </c>
      <c r="P8" s="209">
        <f>J8+'[2]СН МГЭС'!D8</f>
        <v>2771.565786194109</v>
      </c>
    </row>
    <row r="9" spans="1:16" ht="15.75">
      <c r="A9" s="210" t="s">
        <v>169</v>
      </c>
      <c r="B9" s="211">
        <f>[2]Электроэнергия!E29+[2]Электроэнергия!E31</f>
        <v>8453.3488700000016</v>
      </c>
      <c r="C9" s="217">
        <f>'[2]прогнозный баланс'!K9</f>
        <v>6834.0700019363994</v>
      </c>
      <c r="D9" s="218"/>
      <c r="E9" s="213">
        <f>SUM(F9:I9)</f>
        <v>39448.12621152807</v>
      </c>
      <c r="F9" s="218">
        <f>[2]Электроэнергия!E23</f>
        <v>2077.8520055599984</v>
      </c>
      <c r="G9" s="218">
        <f>[2]Электроэнергия!E18</f>
        <v>2316.8588695229996</v>
      </c>
      <c r="H9" s="218">
        <f>[2]Электроэнергия!E13</f>
        <v>13529.584810060802</v>
      </c>
      <c r="I9" s="217">
        <f>[2]Электроэнергия!E8+[2]Электроэнергия!E30-[2]Электроэнергия!E31</f>
        <v>21523.830526384267</v>
      </c>
      <c r="J9" s="217">
        <f t="shared" si="0"/>
        <v>54735.545083464473</v>
      </c>
      <c r="K9" s="184"/>
      <c r="L9" s="185"/>
      <c r="M9" s="893" t="s">
        <v>170</v>
      </c>
      <c r="N9" s="893"/>
    </row>
    <row r="10" spans="1:16" ht="15.75">
      <c r="A10" s="198" t="s">
        <v>165</v>
      </c>
      <c r="B10" s="214">
        <f>B4</f>
        <v>6.4380000000000007E-2</v>
      </c>
      <c r="C10" s="215">
        <f>C4</f>
        <v>2.742E-2</v>
      </c>
      <c r="D10" s="216"/>
      <c r="E10" s="202"/>
      <c r="F10" s="203">
        <f>$M$3/100*$M$8*$M$12</f>
        <v>9.6261493362616274E-2</v>
      </c>
      <c r="G10" s="203">
        <f>$M$4/100*$M$8*$M$12</f>
        <v>9.0646239583130339E-2</v>
      </c>
      <c r="H10" s="203">
        <f>$M$5/100*$M$8*$M$12</f>
        <v>5.7556351239730977E-2</v>
      </c>
      <c r="I10" s="204">
        <f>$M$6/100*$M$8*$M$12</f>
        <v>3.0763568920469452E-2</v>
      </c>
      <c r="J10" s="204">
        <f t="shared" si="0"/>
        <v>9.1800000000000007E-2</v>
      </c>
      <c r="K10" s="184"/>
      <c r="L10" s="219" t="s">
        <v>11</v>
      </c>
      <c r="M10" s="892">
        <f>'[2]Покупка ОПТ на 2016'!W31</f>
        <v>1.8034842388939103</v>
      </c>
      <c r="N10" s="892"/>
      <c r="O10" s="197"/>
    </row>
    <row r="11" spans="1:16" ht="15.75">
      <c r="A11" s="205" t="s">
        <v>166</v>
      </c>
      <c r="B11" s="206">
        <f>B9*B10</f>
        <v>544.2266002506002</v>
      </c>
      <c r="C11" s="206">
        <f>C9*C10</f>
        <v>187.39019945309607</v>
      </c>
      <c r="D11" s="206">
        <f>D9*D10</f>
        <v>0</v>
      </c>
      <c r="E11" s="207">
        <f>SUM(F11:I11)</f>
        <v>1850.8950604953102</v>
      </c>
      <c r="F11" s="220">
        <f>F10*F9</f>
        <v>200.01713704171269</v>
      </c>
      <c r="G11" s="220">
        <f>G10*G9</f>
        <v>210.01454416708233</v>
      </c>
      <c r="H11" s="220">
        <f>H10*H9</f>
        <v>778.71353545558839</v>
      </c>
      <c r="I11" s="221">
        <f>I10*I9</f>
        <v>662.14984383092667</v>
      </c>
      <c r="J11" s="221">
        <f t="shared" si="0"/>
        <v>2582.5118601990066</v>
      </c>
      <c r="K11" s="184"/>
      <c r="L11" s="219" t="s">
        <v>12</v>
      </c>
      <c r="M11" s="892">
        <f>'[2]Покупка ОПТ на 2016'!W32</f>
        <v>2.0562571434196442</v>
      </c>
      <c r="N11" s="892"/>
      <c r="O11" s="197"/>
      <c r="P11" s="209">
        <f>J11+'[2]СН МГЭС'!D11</f>
        <v>2603.559373152772</v>
      </c>
    </row>
    <row r="12" spans="1:16" ht="15.75">
      <c r="A12" s="210" t="s">
        <v>171</v>
      </c>
      <c r="B12" s="211">
        <f>[2]Электроэнергия!G29+[2]Электроэнергия!G31</f>
        <v>6030.6159299999999</v>
      </c>
      <c r="C12" s="217">
        <f>'[2]прогнозный баланс'!K11</f>
        <v>4579.7054831425648</v>
      </c>
      <c r="D12" s="218"/>
      <c r="E12" s="213">
        <f>SUM(F12:I12)</f>
        <v>46775.687931792461</v>
      </c>
      <c r="F12" s="218">
        <f>[2]Электроэнергия!G23</f>
        <v>1375.6313049999997</v>
      </c>
      <c r="G12" s="218">
        <f>[2]Электроэнергия!G18</f>
        <v>1988.0886430652999</v>
      </c>
      <c r="H12" s="218">
        <f>[2]Электроэнергия!G13</f>
        <v>15192.112296756794</v>
      </c>
      <c r="I12" s="217">
        <f>[2]Электроэнергия!G8+[2]Электроэнергия!G30-[2]Электроэнергия!G31</f>
        <v>28219.855686970364</v>
      </c>
      <c r="J12" s="217">
        <f t="shared" si="0"/>
        <v>57386.009344935024</v>
      </c>
      <c r="K12" s="184"/>
      <c r="L12" s="219" t="s">
        <v>13</v>
      </c>
      <c r="M12" s="892">
        <f>'[2]Покупка ОПТ на 2016'!W33</f>
        <v>1.9099502651312754</v>
      </c>
      <c r="N12" s="892"/>
      <c r="O12" s="197"/>
    </row>
    <row r="13" spans="1:16" ht="15.75">
      <c r="A13" s="198" t="s">
        <v>165</v>
      </c>
      <c r="B13" s="214">
        <f>B4</f>
        <v>6.4380000000000007E-2</v>
      </c>
      <c r="C13" s="215">
        <f>C4</f>
        <v>2.742E-2</v>
      </c>
      <c r="D13" s="216">
        <f>$M$5/100*$M$8*$M$13</f>
        <v>5.2080560534737252E-2</v>
      </c>
      <c r="E13" s="202"/>
      <c r="F13" s="203">
        <f>$M$3/100*$M$8*$M$13</f>
        <v>8.7103376504090183E-2</v>
      </c>
      <c r="G13" s="203">
        <f>$M$4/100*$M$8*$M$13</f>
        <v>8.2022346208018265E-2</v>
      </c>
      <c r="H13" s="203">
        <f>$M$5/100*$M$8*$M$13</f>
        <v>5.2080560534737252E-2</v>
      </c>
      <c r="I13" s="204">
        <f>$M$6/100*$M$8*$M$13</f>
        <v>2.783678740776549E-2</v>
      </c>
      <c r="J13" s="204">
        <f t="shared" si="0"/>
        <v>0.14388056053473725</v>
      </c>
      <c r="K13" s="184"/>
      <c r="L13" s="219" t="s">
        <v>14</v>
      </c>
      <c r="M13" s="892">
        <f>'[2]Покупка ОПТ на 2016'!W35</f>
        <v>1.7282415973033769</v>
      </c>
      <c r="N13" s="892"/>
      <c r="O13" s="197"/>
    </row>
    <row r="14" spans="1:16" ht="15.75">
      <c r="A14" s="205" t="s">
        <v>166</v>
      </c>
      <c r="B14" s="206">
        <f>B12*B13</f>
        <v>388.25105357340004</v>
      </c>
      <c r="C14" s="206">
        <f>C12*C13</f>
        <v>125.57552434776913</v>
      </c>
      <c r="D14" s="206">
        <f>D12*D13</f>
        <v>0</v>
      </c>
      <c r="E14" s="207">
        <f>SUM(F14:I14)</f>
        <v>1859.6536740217434</v>
      </c>
      <c r="F14" s="220">
        <f>F13*F12</f>
        <v>119.82213149022789</v>
      </c>
      <c r="G14" s="220">
        <f>G13*G12</f>
        <v>163.06769497373128</v>
      </c>
      <c r="H14" s="220">
        <f>H13*H12</f>
        <v>791.21372412176834</v>
      </c>
      <c r="I14" s="221">
        <f>I13*I12</f>
        <v>785.55012343601595</v>
      </c>
      <c r="J14" s="221">
        <f t="shared" si="0"/>
        <v>2373.4802519429127</v>
      </c>
      <c r="K14" s="184"/>
      <c r="L14" s="219" t="s">
        <v>15</v>
      </c>
      <c r="M14" s="892">
        <f>'[2]Покупка ОПТ на 2016'!W36</f>
        <v>1.2828710240927697</v>
      </c>
      <c r="N14" s="892"/>
      <c r="O14" s="197"/>
      <c r="P14" s="209">
        <f>J14+'[2]СН МГЭС'!D14</f>
        <v>2407.9931226462454</v>
      </c>
    </row>
    <row r="15" spans="1:16" ht="15.75">
      <c r="A15" s="210" t="s">
        <v>172</v>
      </c>
      <c r="B15" s="211">
        <f>[2]Электроэнергия!H29+[2]Электроэнергия!H31</f>
        <v>4690.5683600000002</v>
      </c>
      <c r="C15" s="217">
        <f>'[2]прогнозный баланс'!K12</f>
        <v>5660.8899181515735</v>
      </c>
      <c r="D15" s="218"/>
      <c r="E15" s="213">
        <f>SUM(F15:I15)</f>
        <v>52693.079415475317</v>
      </c>
      <c r="F15" s="218">
        <f>[2]Электроэнергия!H23</f>
        <v>1267.2991961511998</v>
      </c>
      <c r="G15" s="218">
        <f>[2]Электроэнергия!H18</f>
        <v>1802.0557439189997</v>
      </c>
      <c r="H15" s="218">
        <f>[2]Электроэнергия!H13</f>
        <v>18875.17645904555</v>
      </c>
      <c r="I15" s="217">
        <f>[2]Электроэнергия!H8+[2]Электроэнергия!H30-[2]Электроэнергия!H31</f>
        <v>30748.548016359568</v>
      </c>
      <c r="J15" s="217">
        <f t="shared" si="0"/>
        <v>63044.537693626888</v>
      </c>
      <c r="K15" s="184"/>
      <c r="L15" s="219" t="s">
        <v>16</v>
      </c>
      <c r="M15" s="892">
        <f>'[2]Покупка ОПТ на 2016'!W37</f>
        <v>1.0046396987215269</v>
      </c>
      <c r="N15" s="892"/>
      <c r="O15" s="197"/>
    </row>
    <row r="16" spans="1:16" ht="15.75">
      <c r="A16" s="198" t="s">
        <v>165</v>
      </c>
      <c r="B16" s="214">
        <f>B4</f>
        <v>6.4380000000000007E-2</v>
      </c>
      <c r="C16" s="215">
        <f>C4</f>
        <v>2.742E-2</v>
      </c>
      <c r="D16" s="216">
        <f>$M$5/100*$M$8*$M$14</f>
        <v>3.8659318311035605E-2</v>
      </c>
      <c r="E16" s="202"/>
      <c r="F16" s="203">
        <f>$M$3/100*$M$8*$M$14</f>
        <v>6.4656699614275587E-2</v>
      </c>
      <c r="G16" s="203">
        <f>$M$4/100*$M$8*$M$14</f>
        <v>6.0885058803442853E-2</v>
      </c>
      <c r="H16" s="203">
        <f>$M$5/100*$M$8*$M$14</f>
        <v>3.8659318311035605E-2</v>
      </c>
      <c r="I16" s="204">
        <f>$M$6/100*$M$8*$M$14</f>
        <v>2.066320358506224E-2</v>
      </c>
      <c r="J16" s="204">
        <f t="shared" si="0"/>
        <v>0.1304593183110356</v>
      </c>
      <c r="L16" s="219" t="s">
        <v>17</v>
      </c>
      <c r="M16" s="892">
        <f>'[2]Покупка ОПТ на 2016'!W39</f>
        <v>1.4104501882290352</v>
      </c>
      <c r="N16" s="892"/>
      <c r="O16" s="197"/>
    </row>
    <row r="17" spans="1:16" ht="15.75">
      <c r="A17" s="205" t="s">
        <v>166</v>
      </c>
      <c r="B17" s="206">
        <f>B15*B16</f>
        <v>301.97879101680002</v>
      </c>
      <c r="C17" s="206">
        <f>C15*C16</f>
        <v>155.22160155571615</v>
      </c>
      <c r="D17" s="206">
        <f>D15*D16</f>
        <v>0</v>
      </c>
      <c r="E17" s="207">
        <f>SUM(F17:I17)</f>
        <v>1556.7226158968585</v>
      </c>
      <c r="F17" s="220">
        <f>F16*F15</f>
        <v>81.939383446961045</v>
      </c>
      <c r="G17" s="220">
        <f>G16*G15</f>
        <v>109.71826993559026</v>
      </c>
      <c r="H17" s="220">
        <f>H16*H15</f>
        <v>729.70145490720779</v>
      </c>
      <c r="I17" s="221">
        <f>I16*I15</f>
        <v>635.36350760709945</v>
      </c>
      <c r="J17" s="221">
        <f t="shared" si="0"/>
        <v>2013.9230084693747</v>
      </c>
      <c r="K17" s="184"/>
      <c r="L17" s="219" t="s">
        <v>18</v>
      </c>
      <c r="M17" s="892">
        <f>'[2]Покупка ОПТ на 2016'!W40</f>
        <v>1.39028195849317</v>
      </c>
      <c r="N17" s="892"/>
      <c r="O17" s="197"/>
      <c r="P17" s="209">
        <f>J17+'[2]СН МГЭС'!D17</f>
        <v>2071.3792034161843</v>
      </c>
    </row>
    <row r="18" spans="1:16" ht="15.75">
      <c r="A18" s="210" t="s">
        <v>173</v>
      </c>
      <c r="B18" s="211">
        <f>[2]Электроэнергия!I29+[2]Электроэнергия!I31</f>
        <v>6177.8081899999997</v>
      </c>
      <c r="C18" s="217">
        <f>'[2]прогнозный баланс'!K13</f>
        <v>5066.7080165484558</v>
      </c>
      <c r="D18" s="218"/>
      <c r="E18" s="213">
        <f>SUM(F18:I18)</f>
        <v>50238.866601117857</v>
      </c>
      <c r="F18" s="218">
        <f>[2]Электроэнергия!I23</f>
        <v>970.46122454479951</v>
      </c>
      <c r="G18" s="218">
        <f>[2]Электроэнергия!I18</f>
        <v>1467.8397629600001</v>
      </c>
      <c r="H18" s="218">
        <f>[2]Электроэнергия!I13</f>
        <v>17914.5563329</v>
      </c>
      <c r="I18" s="217">
        <f>[2]Электроэнергия!I8+[2]Электроэнергия!I30-[2]Электроэнергия!I31</f>
        <v>29886.009280713053</v>
      </c>
      <c r="J18" s="217">
        <f t="shared" si="0"/>
        <v>61483.382807666312</v>
      </c>
      <c r="L18" s="219" t="s">
        <v>19</v>
      </c>
      <c r="M18" s="892">
        <f>'[2]Покупка ОПТ на 2016'!W41</f>
        <v>1.8365550185621524</v>
      </c>
      <c r="N18" s="892"/>
      <c r="O18" s="197"/>
    </row>
    <row r="19" spans="1:16" ht="15.75">
      <c r="A19" s="198" t="s">
        <v>165</v>
      </c>
      <c r="B19" s="214">
        <f>B4</f>
        <v>6.4380000000000007E-2</v>
      </c>
      <c r="C19" s="215">
        <f>C4</f>
        <v>2.742E-2</v>
      </c>
      <c r="D19" s="216">
        <f>$M$5/100*$M$8*$M$15</f>
        <v>3.0274817320973209E-2</v>
      </c>
      <c r="E19" s="202"/>
      <c r="F19" s="203">
        <f>$M$3/100*$M$8*$M$15</f>
        <v>5.0633840815564948E-2</v>
      </c>
      <c r="G19" s="203">
        <f>$M$4/100*$M$8*$M$15</f>
        <v>4.7680200101323671E-2</v>
      </c>
      <c r="H19" s="203">
        <f>$M$5/100*$M$8*$M$15</f>
        <v>3.0274817320973209E-2</v>
      </c>
      <c r="I19" s="204">
        <f>$M$6/100*$M$8*$M$15</f>
        <v>1.6181731627307634E-2</v>
      </c>
      <c r="J19" s="204">
        <f t="shared" si="0"/>
        <v>0.12207481732097322</v>
      </c>
      <c r="L19" s="219" t="s">
        <v>20</v>
      </c>
      <c r="M19" s="892">
        <f>'[2]Покупка ОПТ на 2016'!W43</f>
        <v>2.0467662437611303</v>
      </c>
      <c r="N19" s="892"/>
      <c r="O19" s="197"/>
    </row>
    <row r="20" spans="1:16" ht="15.75">
      <c r="A20" s="205" t="s">
        <v>166</v>
      </c>
      <c r="B20" s="206">
        <f>B18*B19</f>
        <v>397.72729127220003</v>
      </c>
      <c r="C20" s="206">
        <f>C18*C19</f>
        <v>138.92913381375865</v>
      </c>
      <c r="D20" s="206">
        <f>D18*D19</f>
        <v>0</v>
      </c>
      <c r="E20" s="207">
        <f>SUM(F20:I20)</f>
        <v>1145.0923747324468</v>
      </c>
      <c r="F20" s="220">
        <f>F19*F18</f>
        <v>49.138179161279609</v>
      </c>
      <c r="G20" s="220">
        <f>G19*G18</f>
        <v>69.986893614612313</v>
      </c>
      <c r="H20" s="220">
        <f>H19*H18</f>
        <v>542.35992036483117</v>
      </c>
      <c r="I20" s="221">
        <f>I19*I18</f>
        <v>483.60738159172388</v>
      </c>
      <c r="J20" s="221">
        <f t="shared" si="0"/>
        <v>1681.7487998184056</v>
      </c>
      <c r="K20" s="184"/>
      <c r="L20" s="219" t="s">
        <v>21</v>
      </c>
      <c r="M20" s="892">
        <f>'[2]Покупка ОПТ на 2016'!W44</f>
        <v>2.1825731052024766</v>
      </c>
      <c r="N20" s="892"/>
      <c r="O20" s="197"/>
      <c r="P20" s="209">
        <f>J20+'[2]СН МГЭС'!D20</f>
        <v>1737.6731925984486</v>
      </c>
    </row>
    <row r="21" spans="1:16" ht="15.75">
      <c r="A21" s="210" t="s">
        <v>174</v>
      </c>
      <c r="B21" s="211">
        <f>[2]Электроэнергия!K29+[2]Электроэнергия!K31</f>
        <v>5045.84105</v>
      </c>
      <c r="C21" s="217">
        <f>'[2]прогнозный баланс'!K16</f>
        <v>3722.4965877166155</v>
      </c>
      <c r="D21" s="218"/>
      <c r="E21" s="213">
        <f>SUM(F21:I21)</f>
        <v>55818.183937383998</v>
      </c>
      <c r="F21" s="218">
        <f>[2]Электроэнергия!K23</f>
        <v>852.20860399200001</v>
      </c>
      <c r="G21" s="218">
        <f>[2]Электроэнергия!K18</f>
        <v>1150.8588923999998</v>
      </c>
      <c r="H21" s="218">
        <f>[2]Электроэнергия!K13</f>
        <v>23292.46342</v>
      </c>
      <c r="I21" s="217">
        <f>[2]Электроэнергия!K8+[2]Электроэнергия!K30-[2]Электроэнергия!K31</f>
        <v>30522.653020991998</v>
      </c>
      <c r="J21" s="217">
        <f t="shared" si="0"/>
        <v>64586.521575100611</v>
      </c>
      <c r="L21" s="219" t="s">
        <v>22</v>
      </c>
      <c r="M21" s="892">
        <f>'[2]Покупка ОПТ на 2016'!W45</f>
        <v>2.2376608264594413</v>
      </c>
      <c r="N21" s="892"/>
      <c r="O21" s="197"/>
    </row>
    <row r="22" spans="1:16" ht="15.75">
      <c r="A22" s="198" t="s">
        <v>165</v>
      </c>
      <c r="B22" s="199">
        <v>6.4380000000000007E-2</v>
      </c>
      <c r="C22" s="200">
        <v>2.742E-2</v>
      </c>
      <c r="D22" s="201">
        <f>$N$5/100*$N$8*$M$16</f>
        <v>0.12354475045201205</v>
      </c>
      <c r="E22" s="202"/>
      <c r="F22" s="222">
        <f>$N$3/100*$N$8*$M$16</f>
        <v>0.2066253666096369</v>
      </c>
      <c r="G22" s="222">
        <f>$N$4/100*$N$8*$M$16</f>
        <v>0.19457222022407475</v>
      </c>
      <c r="H22" s="222">
        <f>$N$5/100*$N$8*$M$16</f>
        <v>0.12354475045201205</v>
      </c>
      <c r="I22" s="223">
        <f>$N$6/100*$N$8*$M$16</f>
        <v>6.6034023412329793E-2</v>
      </c>
      <c r="J22" s="223">
        <f t="shared" si="0"/>
        <v>0.21534475045201207</v>
      </c>
      <c r="L22" s="185"/>
    </row>
    <row r="23" spans="1:16" ht="15.75">
      <c r="A23" s="205" t="s">
        <v>166</v>
      </c>
      <c r="B23" s="206">
        <f>B21*B22</f>
        <v>324.85124679900002</v>
      </c>
      <c r="C23" s="206">
        <f>C21*C22</f>
        <v>102.0708564351896</v>
      </c>
      <c r="D23" s="206">
        <f>D21*D22</f>
        <v>0</v>
      </c>
      <c r="E23" s="207">
        <f>SUM(F23:I23)</f>
        <v>5293.208249917745</v>
      </c>
      <c r="F23" s="220">
        <f>F22*F21</f>
        <v>176.08791522773387</v>
      </c>
      <c r="G23" s="220">
        <f>G22*G21</f>
        <v>223.9251698588875</v>
      </c>
      <c r="H23" s="220">
        <f>H22*H21</f>
        <v>2877.6615806365189</v>
      </c>
      <c r="I23" s="221">
        <f>I22*I21</f>
        <v>2015.5335841946044</v>
      </c>
      <c r="J23" s="221">
        <f t="shared" si="0"/>
        <v>5720.1303531519343</v>
      </c>
      <c r="L23" s="185"/>
      <c r="P23" s="209">
        <f>J23+'[2]СН МГЭС'!D23</f>
        <v>5923.3583131648975</v>
      </c>
    </row>
    <row r="24" spans="1:16" ht="15.75">
      <c r="A24" s="210" t="s">
        <v>175</v>
      </c>
      <c r="B24" s="211">
        <f>[2]Электроэнергия!L29+[2]Электроэнергия!L31</f>
        <v>4461.8536299999996</v>
      </c>
      <c r="C24" s="217">
        <f>'[2]прогнозный баланс'!K17</f>
        <v>5557.5470203931045</v>
      </c>
      <c r="D24" s="218"/>
      <c r="E24" s="213">
        <f>SUM(F24:I24)</f>
        <v>56545.885822552795</v>
      </c>
      <c r="F24" s="218">
        <f>[2]Электроэнергия!L23</f>
        <v>1138.5505840607993</v>
      </c>
      <c r="G24" s="218">
        <f>[2]Электроэнергия!L18</f>
        <v>1380.8405875000001</v>
      </c>
      <c r="H24" s="218">
        <f>[2]Электроэнергия!L13</f>
        <v>22321.347310000001</v>
      </c>
      <c r="I24" s="217">
        <f>[2]Электроэнергия!L8+[2]Электроэнергия!L30-[2]Электроэнергия!L31</f>
        <v>31705.147340991996</v>
      </c>
      <c r="J24" s="217">
        <f t="shared" si="0"/>
        <v>66565.286472945896</v>
      </c>
      <c r="L24" s="185"/>
      <c r="O24" s="224"/>
    </row>
    <row r="25" spans="1:16" ht="15.75">
      <c r="A25" s="198" t="s">
        <v>165</v>
      </c>
      <c r="B25" s="214">
        <f>B22</f>
        <v>6.4380000000000007E-2</v>
      </c>
      <c r="C25" s="215">
        <f>C22</f>
        <v>2.742E-2</v>
      </c>
      <c r="D25" s="216">
        <f>$N$5/100*$N$8*$M$17</f>
        <v>0.12177816632832536</v>
      </c>
      <c r="E25" s="202"/>
      <c r="F25" s="222">
        <f>$N$3/100*$N$8*$M$17</f>
        <v>0.20367080082786124</v>
      </c>
      <c r="G25" s="222">
        <f>$N$4/100*$N$8*$M$17</f>
        <v>0.19179000411290267</v>
      </c>
      <c r="H25" s="222">
        <f>$N$5/100*$N$8*$M$17</f>
        <v>0.12177816632832536</v>
      </c>
      <c r="I25" s="223">
        <f>$N$6/100*$N$8*$M$17</f>
        <v>6.5089793431237331E-2</v>
      </c>
      <c r="J25" s="223">
        <f t="shared" si="0"/>
        <v>0.21357816632832538</v>
      </c>
      <c r="K25" s="209"/>
      <c r="O25" s="225"/>
    </row>
    <row r="26" spans="1:16" ht="15.75">
      <c r="A26" s="205" t="s">
        <v>166</v>
      </c>
      <c r="B26" s="206">
        <f>B24*B25</f>
        <v>287.25413669940002</v>
      </c>
      <c r="C26" s="206">
        <f>C24*C25</f>
        <v>152.38793929917892</v>
      </c>
      <c r="D26" s="206">
        <f>D24*D25</f>
        <v>0</v>
      </c>
      <c r="E26" s="207">
        <f>SUM(F26:I26)</f>
        <v>5278.6551677161906</v>
      </c>
      <c r="F26" s="220">
        <f>F25*F24</f>
        <v>231.88950923869214</v>
      </c>
      <c r="G26" s="220">
        <f>G25*G24</f>
        <v>264.83142195588795</v>
      </c>
      <c r="H26" s="220">
        <f>H25*H24</f>
        <v>2718.2527453894982</v>
      </c>
      <c r="I26" s="221">
        <f>I25*I24</f>
        <v>2063.6814911321126</v>
      </c>
      <c r="J26" s="221">
        <f t="shared" si="0"/>
        <v>5718.2972437147691</v>
      </c>
      <c r="L26" s="209"/>
      <c r="M26" s="226"/>
      <c r="P26" s="209">
        <f>J26+'[2]СН МГЭС'!D26</f>
        <v>5953.5349717794006</v>
      </c>
    </row>
    <row r="27" spans="1:16" ht="15.75">
      <c r="A27" s="210" t="s">
        <v>176</v>
      </c>
      <c r="B27" s="211">
        <f>[2]Электроэнергия!M29+[2]Электроэнергия!M31</f>
        <v>5451.1710800000001</v>
      </c>
      <c r="C27" s="217">
        <f>'[2]прогнозный баланс'!K18</f>
        <v>6129.6108290340053</v>
      </c>
      <c r="D27" s="218"/>
      <c r="E27" s="213">
        <f>SUM(F27:I27)</f>
        <v>59903.210798094406</v>
      </c>
      <c r="F27" s="218">
        <f>[2]Электроэнергия!M23</f>
        <v>1888.0130660344003</v>
      </c>
      <c r="G27" s="218">
        <f>[2]Электроэнергия!M18</f>
        <v>1578.8872331</v>
      </c>
      <c r="H27" s="218">
        <f>[2]Электроэнергия!M13</f>
        <v>25368.962650000001</v>
      </c>
      <c r="I27" s="217">
        <f>[2]Электроэнергия!M8+[2]Электроэнергия!M30-[2]Электроэнергия!M31</f>
        <v>31067.347848960002</v>
      </c>
      <c r="J27" s="217">
        <f t="shared" si="0"/>
        <v>71483.992707128404</v>
      </c>
      <c r="L27" s="209"/>
      <c r="M27" s="226"/>
      <c r="O27" s="209"/>
    </row>
    <row r="28" spans="1:16" ht="15.75">
      <c r="A28" s="198" t="s">
        <v>165</v>
      </c>
      <c r="B28" s="214">
        <f>B22</f>
        <v>6.4380000000000007E-2</v>
      </c>
      <c r="C28" s="215">
        <f>C22</f>
        <v>2.742E-2</v>
      </c>
      <c r="D28" s="216">
        <f>$N$5/100*$N$8*$M$18</f>
        <v>0.16086830527814924</v>
      </c>
      <c r="E28" s="202"/>
      <c r="F28" s="222">
        <f>$N$3/100*$N$8*$M$18</f>
        <v>0.26904803670213112</v>
      </c>
      <c r="G28" s="222">
        <f>$N$4/100*$N$8*$M$18</f>
        <v>0.2533535678945068</v>
      </c>
      <c r="H28" s="222">
        <f>$N$5/100*$N$8*$M$18</f>
        <v>0.16086830527814924</v>
      </c>
      <c r="I28" s="223">
        <f>$N$6/100*$N$8*$M$18</f>
        <v>8.5983268396056078E-2</v>
      </c>
      <c r="J28" s="223">
        <f t="shared" si="0"/>
        <v>0.25266830527814926</v>
      </c>
      <c r="L28" s="227"/>
      <c r="M28" s="226"/>
    </row>
    <row r="29" spans="1:16" ht="15.75">
      <c r="A29" s="205" t="s">
        <v>166</v>
      </c>
      <c r="B29" s="206">
        <f>B27*B28</f>
        <v>350.94639413040005</v>
      </c>
      <c r="C29" s="206">
        <f>C27*C28</f>
        <v>168.07392893211244</v>
      </c>
      <c r="D29" s="206">
        <f>D27*D28</f>
        <v>0</v>
      </c>
      <c r="E29" s="207">
        <f>SUM(F29:I29)</f>
        <v>7660.3170591144262</v>
      </c>
      <c r="F29" s="220">
        <f>F28*F27</f>
        <v>507.96620868452641</v>
      </c>
      <c r="G29" s="220">
        <f>G28*G27</f>
        <v>400.01671380897085</v>
      </c>
      <c r="H29" s="220">
        <f>H28*H27</f>
        <v>4081.0620281701663</v>
      </c>
      <c r="I29" s="221">
        <f>I28*I27</f>
        <v>2671.2721084507634</v>
      </c>
      <c r="J29" s="221">
        <f t="shared" si="0"/>
        <v>8179.3373821769383</v>
      </c>
      <c r="K29" s="228"/>
      <c r="L29" s="227"/>
      <c r="M29" s="226"/>
      <c r="O29" s="229"/>
      <c r="P29" s="209">
        <f>J29+'[2]СН МГЭС'!D29</f>
        <v>8471.8961479352802</v>
      </c>
    </row>
    <row r="30" spans="1:16" ht="15.75">
      <c r="A30" s="210" t="s">
        <v>177</v>
      </c>
      <c r="B30" s="211">
        <f>[2]Электроэнергия!O29+[2]Электроэнергия!O31</f>
        <v>5963.1690200000003</v>
      </c>
      <c r="C30" s="217">
        <f>'[2]прогнозный баланс'!K21</f>
        <v>8714.3704719226644</v>
      </c>
      <c r="D30" s="218"/>
      <c r="E30" s="213">
        <f>SUM(F30:I30)</f>
        <v>65139.849605057076</v>
      </c>
      <c r="F30" s="218">
        <f>[2]Электроэнергия!O23</f>
        <v>1757.1368090650792</v>
      </c>
      <c r="G30" s="218">
        <f>[2]Электроэнергия!O18</f>
        <v>2467.1160650000002</v>
      </c>
      <c r="H30" s="218">
        <f>[2]Электроэнергия!O13</f>
        <v>27508.430079999998</v>
      </c>
      <c r="I30" s="217">
        <f>[2]Электроэнергия!O8+[2]Электроэнергия!O30-[2]Электроэнергия!O31</f>
        <v>33407.166650991996</v>
      </c>
      <c r="J30" s="217">
        <f t="shared" si="0"/>
        <v>79817.389096979736</v>
      </c>
      <c r="L30" s="227"/>
      <c r="M30" s="226"/>
    </row>
    <row r="31" spans="1:16" ht="15.75">
      <c r="A31" s="198" t="s">
        <v>165</v>
      </c>
      <c r="B31" s="214">
        <f>B22</f>
        <v>6.4380000000000007E-2</v>
      </c>
      <c r="C31" s="215">
        <f>C22</f>
        <v>2.742E-2</v>
      </c>
      <c r="D31" s="216">
        <f>$N$5/100*$N$8*$M$19</f>
        <v>0.17928121597585209</v>
      </c>
      <c r="E31" s="202"/>
      <c r="F31" s="222">
        <f>$N$3/100*$N$8*$M$19</f>
        <v>0.29984314867041467</v>
      </c>
      <c r="G31" s="222">
        <f>$N$4/100*$N$8*$M$19</f>
        <v>0.28235229833130715</v>
      </c>
      <c r="H31" s="222">
        <f>$N$5/100*$N$8*$M$19</f>
        <v>0.17928121597585209</v>
      </c>
      <c r="I31" s="223">
        <f>$N$6/100*$N$8*$M$19</f>
        <v>9.582487292925336E-2</v>
      </c>
      <c r="J31" s="223">
        <f t="shared" si="0"/>
        <v>0.27108121597585211</v>
      </c>
      <c r="L31" s="227"/>
      <c r="M31" s="226"/>
    </row>
    <row r="32" spans="1:16" ht="15.75">
      <c r="A32" s="205" t="s">
        <v>166</v>
      </c>
      <c r="B32" s="206">
        <f>B30*B31</f>
        <v>383.90882150760007</v>
      </c>
      <c r="C32" s="206">
        <f>C30*C31</f>
        <v>238.94803834011947</v>
      </c>
      <c r="D32" s="206">
        <f>D30*D31</f>
        <v>0</v>
      </c>
      <c r="E32" s="207">
        <f>SUM(F32:I32)</f>
        <v>9356.4436182644022</v>
      </c>
      <c r="F32" s="220">
        <f>F31*F30</f>
        <v>526.86543347475856</v>
      </c>
      <c r="G32" s="220">
        <f>G31*G30</f>
        <v>696.59589120284056</v>
      </c>
      <c r="H32" s="220">
        <f>H31*H30</f>
        <v>4931.7447943291054</v>
      </c>
      <c r="I32" s="221">
        <f>I31*I30</f>
        <v>3201.2374992576983</v>
      </c>
      <c r="J32" s="221">
        <f t="shared" si="0"/>
        <v>9979.3004781121217</v>
      </c>
      <c r="L32" s="227"/>
      <c r="P32" s="209">
        <f>J32+'[2]СН МГЭС'!D32</f>
        <v>10161.167264047195</v>
      </c>
    </row>
    <row r="33" spans="1:16" ht="15.75">
      <c r="A33" s="210" t="s">
        <v>178</v>
      </c>
      <c r="B33" s="211">
        <f>[2]Электроэнергия!P29+[2]Электроэнергия!P31</f>
        <v>6479.9001199999993</v>
      </c>
      <c r="C33" s="217">
        <f>'[2]прогнозный баланс'!K22</f>
        <v>7217.8883580489646</v>
      </c>
      <c r="D33" s="218"/>
      <c r="E33" s="213">
        <f>SUM(F33:I33)</f>
        <v>46811.098228721545</v>
      </c>
      <c r="F33" s="218">
        <f>[2]Электроэнергия!P23</f>
        <v>1871.6085397735524</v>
      </c>
      <c r="G33" s="218">
        <f>[2]Электроэнергия!P18</f>
        <v>2582.704160404</v>
      </c>
      <c r="H33" s="218">
        <f>[2]Электроэнергия!P13</f>
        <v>15389.01715</v>
      </c>
      <c r="I33" s="217">
        <f>[2]Электроэнергия!P8+[2]Электроэнергия!P30-[2]Электроэнергия!P31</f>
        <v>26967.768378543999</v>
      </c>
      <c r="J33" s="217">
        <f t="shared" si="0"/>
        <v>60508.886706770507</v>
      </c>
      <c r="L33" s="227"/>
    </row>
    <row r="34" spans="1:16" ht="15.75">
      <c r="A34" s="198" t="s">
        <v>165</v>
      </c>
      <c r="B34" s="214">
        <f>B22</f>
        <v>6.4380000000000007E-2</v>
      </c>
      <c r="C34" s="215">
        <f>C22</f>
        <v>2.742E-2</v>
      </c>
      <c r="D34" s="216">
        <f>$N$5/100*$N$8*$M$20</f>
        <v>0.19117686812044069</v>
      </c>
      <c r="E34" s="202"/>
      <c r="F34" s="222">
        <f>$N$3/100*$N$8*$M$20</f>
        <v>0.31973831602024927</v>
      </c>
      <c r="G34" s="222">
        <f>$N$4/100*$N$8*$M$20</f>
        <v>0.30108691425240142</v>
      </c>
      <c r="H34" s="222">
        <f>$N$5/100*$N$8*$M$20</f>
        <v>0.19117686812044069</v>
      </c>
      <c r="I34" s="223">
        <f>$N$6/100*$N$8*$M$20</f>
        <v>0.10218303682813799</v>
      </c>
      <c r="J34" s="223">
        <f t="shared" si="0"/>
        <v>0.28297686812044071</v>
      </c>
    </row>
    <row r="35" spans="1:16" ht="15.75">
      <c r="A35" s="205" t="s">
        <v>166</v>
      </c>
      <c r="B35" s="206">
        <f>B33*B34</f>
        <v>417.1759697256</v>
      </c>
      <c r="C35" s="206">
        <f>C33*C34</f>
        <v>197.91449877770262</v>
      </c>
      <c r="D35" s="206">
        <f>D33*D34</f>
        <v>0</v>
      </c>
      <c r="E35" s="207">
        <f>SUM(F35:I35)</f>
        <v>7073.7159604253993</v>
      </c>
      <c r="F35" s="220">
        <f>F34*F33</f>
        <v>598.42496275631333</v>
      </c>
      <c r="G35" s="220">
        <f>G34*G33</f>
        <v>777.61842608287952</v>
      </c>
      <c r="H35" s="220">
        <f>H34*H33</f>
        <v>2942.02410218875</v>
      </c>
      <c r="I35" s="221">
        <f>I34*I33</f>
        <v>2755.6484693974567</v>
      </c>
      <c r="J35" s="221">
        <f t="shared" si="0"/>
        <v>7688.8064289287022</v>
      </c>
      <c r="L35" s="227"/>
      <c r="P35" s="209">
        <f>J35+'[2]СН МГЭС'!D35</f>
        <v>7811.3334475968031</v>
      </c>
    </row>
    <row r="36" spans="1:16" ht="15.75">
      <c r="A36" s="210" t="s">
        <v>179</v>
      </c>
      <c r="B36" s="211">
        <f>[2]Электроэнергия!Q29+[2]Электроэнергия!Q31</f>
        <v>9307.9172099999996</v>
      </c>
      <c r="C36" s="217">
        <f>'[2]прогнозный баланс'!K23</f>
        <v>9035.4240010690537</v>
      </c>
      <c r="D36" s="218"/>
      <c r="E36" s="213">
        <f>SUM(F36:I36)</f>
        <v>42398.227764991476</v>
      </c>
      <c r="F36" s="218">
        <f>[2]Электроэнергия!Q23</f>
        <v>2164.3656653751673</v>
      </c>
      <c r="G36" s="218">
        <f>[2]Электроэнергия!Q18</f>
        <v>2462.1675110723199</v>
      </c>
      <c r="H36" s="218">
        <f>[2]Электроэнергия!Q13</f>
        <v>11552.801069999998</v>
      </c>
      <c r="I36" s="217">
        <f>[2]Электроэнергия!Q8+[2]Электроэнергия!Q30-[2]Электроэнергия!Q31</f>
        <v>26218.893518543995</v>
      </c>
      <c r="J36" s="217">
        <f t="shared" si="0"/>
        <v>60741.568976060531</v>
      </c>
    </row>
    <row r="37" spans="1:16" ht="15.75">
      <c r="A37" s="198" t="s">
        <v>165</v>
      </c>
      <c r="B37" s="214">
        <f>B22</f>
        <v>6.4380000000000007E-2</v>
      </c>
      <c r="C37" s="215">
        <f>C22</f>
        <v>2.742E-2</v>
      </c>
      <c r="D37" s="216">
        <f>$N$5/100*$N$8*$M$21</f>
        <v>0.19600213513976528</v>
      </c>
      <c r="E37" s="202"/>
      <c r="F37" s="222">
        <f>$N$3/100*$N$8*$M$21</f>
        <v>0.32780844901424155</v>
      </c>
      <c r="G37" s="222">
        <f>$N$4/100*$N$8*$M$21</f>
        <v>0.30868628948841081</v>
      </c>
      <c r="H37" s="222">
        <f>$N$5/100*$N$8*$M$21</f>
        <v>0.19600213513976528</v>
      </c>
      <c r="I37" s="223">
        <f>$N$6/100*$N$8*$M$21</f>
        <v>0.10476211683080137</v>
      </c>
      <c r="J37" s="223">
        <f t="shared" si="0"/>
        <v>0.28780213513976527</v>
      </c>
    </row>
    <row r="38" spans="1:16" ht="15.75">
      <c r="A38" s="205" t="s">
        <v>166</v>
      </c>
      <c r="B38" s="206">
        <f>B36*B37</f>
        <v>599.24370997980009</v>
      </c>
      <c r="C38" s="206">
        <f>C36*C37</f>
        <v>247.75132610931345</v>
      </c>
      <c r="D38" s="206">
        <f>D36*D37</f>
        <v>0</v>
      </c>
      <c r="E38" s="230">
        <f>SUM(F38:I38)</f>
        <v>6480.6551674871516</v>
      </c>
      <c r="F38" s="231">
        <f>F37*F36</f>
        <v>709.49735186631051</v>
      </c>
      <c r="G38" s="231">
        <f>G37*G36</f>
        <v>760.03735309183014</v>
      </c>
      <c r="H38" s="231">
        <f>H37*H36</f>
        <v>2264.3736765649646</v>
      </c>
      <c r="I38" s="232">
        <f>I37*I36</f>
        <v>2746.7467859640469</v>
      </c>
      <c r="J38" s="232">
        <f t="shared" si="0"/>
        <v>7327.6502035762651</v>
      </c>
      <c r="P38" s="209">
        <f>J38+'[2]СН МГЭС'!D38</f>
        <v>7445.1510222974493</v>
      </c>
    </row>
    <row r="39" spans="1:16" ht="15.75">
      <c r="A39" s="192" t="s">
        <v>180</v>
      </c>
      <c r="B39" s="194"/>
      <c r="C39" s="233"/>
      <c r="D39" s="234"/>
      <c r="E39" s="235"/>
      <c r="F39" s="218"/>
      <c r="G39" s="218"/>
      <c r="H39" s="218"/>
      <c r="I39" s="217"/>
      <c r="J39" s="217">
        <f t="shared" si="0"/>
        <v>0</v>
      </c>
    </row>
    <row r="40" spans="1:16" ht="15.75">
      <c r="A40" s="198" t="s">
        <v>181</v>
      </c>
      <c r="B40" s="236">
        <f>B3+B6+B9+B12+B15+B18+B21+B24+B27+B30+B33+B36</f>
        <v>79889.75110400001</v>
      </c>
      <c r="C40" s="236">
        <f>C3+C6+C9+C12+C15+C18+C21+C24+C27+C30+C33+C36</f>
        <v>79198.535714686499</v>
      </c>
      <c r="D40" s="237">
        <f>D3+D6+D9+D12+D15+D18+D21+D24+D27+D30+D33+D36</f>
        <v>0</v>
      </c>
      <c r="E40" s="237">
        <f>SUM(F40:I40)</f>
        <v>598362.2954087645</v>
      </c>
      <c r="F40" s="238">
        <f>F3+F6+F9+F12+F15+F18+F21+F24+F27+F30+F33+F36</f>
        <v>20781.993898294069</v>
      </c>
      <c r="G40" s="238">
        <f>G3+G6+G9+G12+G15+G18+G21+G24+G27+G30+G33+G36</f>
        <v>25046.396285822815</v>
      </c>
      <c r="H40" s="238">
        <f>H3+H6+H9+H12+H15+H18+H21+H24+H27+H30+H33+H36</f>
        <v>211446.85696673396</v>
      </c>
      <c r="I40" s="239">
        <f>I3+I6+I9+I12+I15+I18+I21+I24+I27+I30+I33+I36</f>
        <v>341087.04825791367</v>
      </c>
      <c r="J40" s="239">
        <f>B40+C40+E40+D40</f>
        <v>757450.58222745103</v>
      </c>
    </row>
    <row r="41" spans="1:16" ht="15.75">
      <c r="A41" s="240" t="s">
        <v>182</v>
      </c>
      <c r="B41" s="241">
        <f>B5+B8+B11+B14+B17+B20+B23+B26+B29+B32+B35+B38</f>
        <v>5143.3021760755209</v>
      </c>
      <c r="C41" s="242">
        <f>C5+C8+C11+C14+C17+C20+C23+C26+C29+C32+C35+C38</f>
        <v>2171.6238492967036</v>
      </c>
      <c r="D41" s="243">
        <f>D5+D8+D11+D14+D17+D20+D23+D26+D29+D32+D35+D38</f>
        <v>0</v>
      </c>
      <c r="E41" s="243">
        <f>SUM(F41:I41)</f>
        <v>51382.795255028614</v>
      </c>
      <c r="F41" s="244">
        <f>F5+F8+F11+F14+F17+F20+F23+F26+F29+F32+F35+F38</f>
        <v>3728.6678069338755</v>
      </c>
      <c r="G41" s="244">
        <f>G5+G8+G11+G14+G17+G20+G23+G26+G29+G32+G35+G38</f>
        <v>4210.3752430110517</v>
      </c>
      <c r="H41" s="244">
        <f>H5+H8+H11+H14+H17+H20+H23+H26+H29+H32+H35+H38</f>
        <v>23848.111626602898</v>
      </c>
      <c r="I41" s="245">
        <f>I5+I8+I11+I14+I17+I20+I23+I26+I29+I32+I35+I38</f>
        <v>19595.64057848079</v>
      </c>
      <c r="J41" s="245">
        <f t="shared" si="0"/>
        <v>58697.721280400838</v>
      </c>
      <c r="L41" s="209">
        <f>J41+'[2]СН МГЭС'!D41</f>
        <v>60067.554153482692</v>
      </c>
    </row>
    <row r="42" spans="1:16">
      <c r="G42" s="227"/>
      <c r="H42" s="227"/>
      <c r="I42" s="227"/>
    </row>
    <row r="43" spans="1:16">
      <c r="J43" s="246"/>
    </row>
    <row r="44" spans="1:16">
      <c r="J44" s="209"/>
    </row>
    <row r="45" spans="1:16">
      <c r="B45" s="227"/>
      <c r="C45" s="227"/>
      <c r="D45" s="227"/>
      <c r="E45" s="227"/>
      <c r="F45" s="209"/>
      <c r="G45" s="247"/>
      <c r="J45" s="209"/>
    </row>
    <row r="48" spans="1:16">
      <c r="J48" s="227"/>
    </row>
  </sheetData>
  <mergeCells count="18">
    <mergeCell ref="M9:N9"/>
    <mergeCell ref="A1:A2"/>
    <mergeCell ref="B1:B2"/>
    <mergeCell ref="C1:D1"/>
    <mergeCell ref="M1:N1"/>
    <mergeCell ref="M7:N7"/>
    <mergeCell ref="M21:N21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opLeftCell="I16" workbookViewId="0">
      <selection activeCell="L14" sqref="L14"/>
    </sheetView>
  </sheetViews>
  <sheetFormatPr defaultRowHeight="12.75"/>
  <cols>
    <col min="1" max="1" width="14" style="56" customWidth="1"/>
    <col min="2" max="2" width="15.85546875" style="56" customWidth="1"/>
    <col min="3" max="3" width="15.28515625" style="56" customWidth="1"/>
    <col min="4" max="4" width="16" style="56" customWidth="1"/>
    <col min="5" max="5" width="16.42578125" style="56" customWidth="1"/>
    <col min="6" max="6" width="16" style="56" customWidth="1"/>
    <col min="7" max="7" width="15.42578125" style="56" customWidth="1"/>
    <col min="8" max="12" width="15.85546875" style="56" customWidth="1"/>
    <col min="13" max="13" width="16.42578125" style="56" customWidth="1"/>
    <col min="14" max="18" width="15.85546875" style="56" customWidth="1"/>
    <col min="19" max="19" width="15" style="56" customWidth="1"/>
    <col min="20" max="20" width="16" style="56" customWidth="1"/>
    <col min="21" max="21" width="16.42578125" style="56" customWidth="1"/>
    <col min="22" max="30" width="18.5703125" style="56" customWidth="1"/>
    <col min="31" max="32" width="16.42578125" style="56" customWidth="1"/>
    <col min="33" max="33" width="9.140625" style="56"/>
    <col min="34" max="34" width="18.5703125" style="56" customWidth="1"/>
    <col min="35" max="35" width="9.140625" style="56"/>
    <col min="36" max="36" width="13.28515625" style="56" bestFit="1" customWidth="1"/>
    <col min="37" max="16384" width="9.140625" style="56"/>
  </cols>
  <sheetData>
    <row r="1" spans="1:26" s="54" customFormat="1">
      <c r="A1" s="932"/>
      <c r="B1" s="932"/>
      <c r="C1" s="932"/>
      <c r="D1" s="932"/>
      <c r="E1" s="932"/>
      <c r="F1" s="932"/>
      <c r="G1" s="932"/>
      <c r="H1" s="932"/>
      <c r="I1" s="932"/>
      <c r="J1" s="932"/>
      <c r="K1" s="932"/>
      <c r="L1" s="932"/>
      <c r="M1" s="932"/>
      <c r="N1" s="932"/>
      <c r="O1" s="932"/>
      <c r="P1" s="932"/>
      <c r="Q1" s="932"/>
      <c r="R1" s="932"/>
      <c r="S1" s="932"/>
      <c r="T1" s="932"/>
      <c r="U1" s="932"/>
    </row>
    <row r="2" spans="1:26" s="54" customFormat="1" ht="18.75">
      <c r="A2" s="875" t="s">
        <v>71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55"/>
      <c r="P2" s="55"/>
      <c r="Q2" s="55"/>
      <c r="R2" s="55"/>
      <c r="S2" s="55"/>
      <c r="T2" s="55"/>
      <c r="U2" s="55"/>
    </row>
    <row r="3" spans="1:26">
      <c r="A3" s="54"/>
      <c r="X3" s="57"/>
      <c r="Z3" s="58"/>
    </row>
    <row r="4" spans="1:26">
      <c r="A4" s="56" t="s">
        <v>72</v>
      </c>
      <c r="B4" s="56" t="s">
        <v>73</v>
      </c>
      <c r="X4" s="57"/>
      <c r="Z4" s="58"/>
    </row>
    <row r="5" spans="1:26">
      <c r="A5" s="933" t="s">
        <v>74</v>
      </c>
      <c r="B5" s="933"/>
      <c r="C5" s="59" t="s">
        <v>75</v>
      </c>
      <c r="D5" s="60" t="s">
        <v>76</v>
      </c>
      <c r="E5" s="60" t="s">
        <v>77</v>
      </c>
      <c r="F5" s="60" t="s">
        <v>78</v>
      </c>
      <c r="X5" s="57"/>
      <c r="Z5" s="58"/>
    </row>
    <row r="6" spans="1:26">
      <c r="A6" s="931" t="s">
        <v>0</v>
      </c>
      <c r="B6" s="931"/>
      <c r="C6" s="61"/>
      <c r="D6" s="61"/>
      <c r="E6" s="61"/>
      <c r="F6" s="61"/>
      <c r="X6" s="57"/>
      <c r="Z6" s="58"/>
    </row>
    <row r="7" spans="1:26">
      <c r="A7" s="931" t="s">
        <v>2</v>
      </c>
      <c r="B7" s="931"/>
      <c r="C7" s="62" t="s">
        <v>79</v>
      </c>
      <c r="D7" s="63">
        <v>351.78</v>
      </c>
      <c r="E7" s="934">
        <v>6.6000000000000003E-2</v>
      </c>
      <c r="F7" s="63">
        <f>ROUND(D7*E$7+D7,2)</f>
        <v>375</v>
      </c>
      <c r="X7" s="57"/>
      <c r="Z7" s="58"/>
    </row>
    <row r="8" spans="1:26">
      <c r="A8" s="931" t="s">
        <v>80</v>
      </c>
      <c r="B8" s="931"/>
      <c r="C8" s="62" t="s">
        <v>79</v>
      </c>
      <c r="D8" s="63">
        <v>675.66</v>
      </c>
      <c r="E8" s="934"/>
      <c r="F8" s="63">
        <f t="shared" ref="F8:F22" si="0">ROUND(D8*E$7+D8,2)</f>
        <v>720.25</v>
      </c>
      <c r="X8" s="57"/>
      <c r="Z8" s="58"/>
    </row>
    <row r="9" spans="1:26">
      <c r="A9" s="931" t="s">
        <v>81</v>
      </c>
      <c r="B9" s="931"/>
      <c r="C9" s="62" t="s">
        <v>79</v>
      </c>
      <c r="D9" s="63">
        <v>845.72</v>
      </c>
      <c r="E9" s="934"/>
      <c r="F9" s="63">
        <f>ROUND(D9*E$7+D9,2)</f>
        <v>901.54</v>
      </c>
      <c r="X9" s="57"/>
      <c r="Z9" s="58"/>
    </row>
    <row r="10" spans="1:26">
      <c r="A10" s="931" t="s">
        <v>5</v>
      </c>
      <c r="B10" s="931"/>
      <c r="C10" s="62" t="s">
        <v>79</v>
      </c>
      <c r="D10" s="63">
        <v>991.29</v>
      </c>
      <c r="E10" s="934"/>
      <c r="F10" s="63">
        <f t="shared" si="0"/>
        <v>1056.72</v>
      </c>
      <c r="X10" s="57"/>
      <c r="Z10" s="58"/>
    </row>
    <row r="11" spans="1:26" ht="30" customHeight="1">
      <c r="A11" s="935" t="s">
        <v>82</v>
      </c>
      <c r="B11" s="936"/>
      <c r="C11" s="62" t="s">
        <v>79</v>
      </c>
      <c r="D11" s="63">
        <v>455.99</v>
      </c>
      <c r="E11" s="934"/>
      <c r="F11" s="63">
        <f>ROUND(D11*E$7+D11,2)</f>
        <v>486.09</v>
      </c>
      <c r="X11" s="57"/>
      <c r="Z11" s="58"/>
    </row>
    <row r="12" spans="1:26">
      <c r="A12" s="931" t="s">
        <v>83</v>
      </c>
      <c r="B12" s="931"/>
      <c r="C12" s="61"/>
      <c r="D12" s="63"/>
      <c r="E12" s="934"/>
      <c r="F12" s="63"/>
      <c r="X12" s="57"/>
      <c r="Z12" s="58"/>
    </row>
    <row r="13" spans="1:26" ht="44.25" customHeight="1">
      <c r="A13" s="930" t="s">
        <v>84</v>
      </c>
      <c r="B13" s="930"/>
      <c r="C13" s="61"/>
      <c r="D13" s="63"/>
      <c r="E13" s="934"/>
      <c r="F13" s="63"/>
      <c r="X13" s="57"/>
      <c r="Z13" s="58"/>
    </row>
    <row r="14" spans="1:26">
      <c r="A14" s="931" t="s">
        <v>2</v>
      </c>
      <c r="B14" s="931"/>
      <c r="C14" s="62" t="s">
        <v>79</v>
      </c>
      <c r="D14" s="63">
        <v>46.81</v>
      </c>
      <c r="E14" s="934"/>
      <c r="F14" s="63">
        <f t="shared" si="0"/>
        <v>49.9</v>
      </c>
      <c r="X14" s="57"/>
      <c r="Z14" s="58"/>
    </row>
    <row r="15" spans="1:26">
      <c r="A15" s="931" t="s">
        <v>80</v>
      </c>
      <c r="B15" s="931"/>
      <c r="C15" s="62" t="s">
        <v>79</v>
      </c>
      <c r="D15" s="63">
        <v>71.25</v>
      </c>
      <c r="E15" s="934"/>
      <c r="F15" s="63">
        <f t="shared" si="0"/>
        <v>75.95</v>
      </c>
      <c r="X15" s="57"/>
      <c r="Z15" s="58"/>
    </row>
    <row r="16" spans="1:26">
      <c r="A16" s="931" t="s">
        <v>81</v>
      </c>
      <c r="B16" s="931"/>
      <c r="C16" s="62" t="s">
        <v>79</v>
      </c>
      <c r="D16" s="63">
        <v>99.78</v>
      </c>
      <c r="E16" s="934"/>
      <c r="F16" s="63">
        <f t="shared" si="0"/>
        <v>106.37</v>
      </c>
      <c r="X16" s="57"/>
      <c r="Z16" s="58"/>
    </row>
    <row r="17" spans="1:34">
      <c r="A17" s="931" t="s">
        <v>5</v>
      </c>
      <c r="B17" s="931"/>
      <c r="C17" s="62" t="s">
        <v>79</v>
      </c>
      <c r="D17" s="63">
        <v>195.78</v>
      </c>
      <c r="E17" s="934"/>
      <c r="F17" s="63">
        <f t="shared" si="0"/>
        <v>208.7</v>
      </c>
      <c r="X17" s="57"/>
      <c r="Z17" s="58"/>
    </row>
    <row r="18" spans="1:34" ht="30.75" customHeight="1">
      <c r="A18" s="930" t="s">
        <v>85</v>
      </c>
      <c r="B18" s="930"/>
      <c r="C18" s="62"/>
      <c r="D18" s="63"/>
      <c r="E18" s="934"/>
      <c r="F18" s="63"/>
      <c r="X18" s="57"/>
      <c r="Z18" s="58"/>
    </row>
    <row r="19" spans="1:34">
      <c r="A19" s="931" t="s">
        <v>2</v>
      </c>
      <c r="B19" s="931"/>
      <c r="C19" s="62" t="s">
        <v>86</v>
      </c>
      <c r="D19" s="63">
        <v>212443.5</v>
      </c>
      <c r="E19" s="934"/>
      <c r="F19" s="63">
        <f t="shared" si="0"/>
        <v>226464.77</v>
      </c>
      <c r="X19" s="57"/>
      <c r="Z19" s="58"/>
    </row>
    <row r="20" spans="1:34">
      <c r="A20" s="931" t="s">
        <v>80</v>
      </c>
      <c r="B20" s="931"/>
      <c r="C20" s="62" t="s">
        <v>86</v>
      </c>
      <c r="D20" s="63">
        <v>357727.98</v>
      </c>
      <c r="E20" s="934"/>
      <c r="F20" s="63">
        <f t="shared" si="0"/>
        <v>381338.03</v>
      </c>
      <c r="X20" s="57"/>
      <c r="Z20" s="58"/>
    </row>
    <row r="21" spans="1:34">
      <c r="A21" s="931" t="s">
        <v>81</v>
      </c>
      <c r="B21" s="931"/>
      <c r="C21" s="62" t="s">
        <v>86</v>
      </c>
      <c r="D21" s="63">
        <v>468835.05</v>
      </c>
      <c r="E21" s="934"/>
      <c r="F21" s="63">
        <f t="shared" si="0"/>
        <v>499778.16</v>
      </c>
      <c r="X21" s="57"/>
      <c r="Z21" s="58"/>
    </row>
    <row r="22" spans="1:34">
      <c r="A22" s="931" t="s">
        <v>5</v>
      </c>
      <c r="B22" s="931"/>
      <c r="C22" s="62" t="s">
        <v>86</v>
      </c>
      <c r="D22" s="63">
        <v>461797.5</v>
      </c>
      <c r="E22" s="934"/>
      <c r="F22" s="63">
        <f t="shared" si="0"/>
        <v>492276.14</v>
      </c>
    </row>
    <row r="23" spans="1:34" ht="13.5" thickBot="1">
      <c r="X23" s="57"/>
      <c r="Z23" s="58"/>
    </row>
    <row r="24" spans="1:34" ht="13.5" thickBot="1">
      <c r="A24" s="64"/>
      <c r="B24" s="908" t="s">
        <v>87</v>
      </c>
      <c r="C24" s="909"/>
      <c r="D24" s="909"/>
      <c r="E24" s="909"/>
      <c r="F24" s="909"/>
      <c r="G24" s="909"/>
      <c r="H24" s="909"/>
      <c r="I24" s="910"/>
      <c r="J24" s="908" t="s">
        <v>88</v>
      </c>
      <c r="K24" s="909"/>
      <c r="L24" s="909"/>
      <c r="M24" s="909"/>
      <c r="N24" s="909"/>
      <c r="O24" s="909"/>
      <c r="P24" s="909"/>
      <c r="Q24" s="910"/>
      <c r="R24" s="248"/>
      <c r="S24" s="911" t="s">
        <v>89</v>
      </c>
      <c r="T24" s="912"/>
      <c r="U24" s="913" t="s">
        <v>90</v>
      </c>
      <c r="V24" s="916" t="s">
        <v>91</v>
      </c>
      <c r="W24" s="917"/>
      <c r="X24" s="917"/>
      <c r="Y24" s="917"/>
      <c r="Z24" s="917"/>
      <c r="AA24" s="917"/>
      <c r="AB24" s="917"/>
      <c r="AC24" s="918"/>
      <c r="AD24" s="252"/>
      <c r="AE24" s="913" t="s">
        <v>92</v>
      </c>
      <c r="AF24" s="923" t="s">
        <v>93</v>
      </c>
    </row>
    <row r="25" spans="1:34" ht="15" customHeight="1">
      <c r="A25" s="900" t="s">
        <v>94</v>
      </c>
      <c r="B25" s="902" t="s">
        <v>95</v>
      </c>
      <c r="C25" s="904" t="s">
        <v>96</v>
      </c>
      <c r="D25" s="906" t="s">
        <v>97</v>
      </c>
      <c r="E25" s="904" t="s">
        <v>98</v>
      </c>
      <c r="F25" s="906" t="s">
        <v>99</v>
      </c>
      <c r="G25" s="904" t="s">
        <v>100</v>
      </c>
      <c r="H25" s="906" t="s">
        <v>101</v>
      </c>
      <c r="I25" s="919" t="s">
        <v>102</v>
      </c>
      <c r="J25" s="902" t="s">
        <v>95</v>
      </c>
      <c r="K25" s="904" t="s">
        <v>96</v>
      </c>
      <c r="L25" s="906" t="s">
        <v>97</v>
      </c>
      <c r="M25" s="904" t="s">
        <v>98</v>
      </c>
      <c r="N25" s="906" t="s">
        <v>99</v>
      </c>
      <c r="O25" s="904" t="s">
        <v>100</v>
      </c>
      <c r="P25" s="906" t="s">
        <v>101</v>
      </c>
      <c r="Q25" s="919" t="s">
        <v>102</v>
      </c>
      <c r="R25" s="921" t="s">
        <v>183</v>
      </c>
      <c r="S25" s="926" t="s">
        <v>103</v>
      </c>
      <c r="T25" s="929" t="s">
        <v>104</v>
      </c>
      <c r="U25" s="914"/>
      <c r="V25" s="902" t="s">
        <v>105</v>
      </c>
      <c r="W25" s="904" t="s">
        <v>96</v>
      </c>
      <c r="X25" s="906" t="s">
        <v>106</v>
      </c>
      <c r="Y25" s="904" t="s">
        <v>98</v>
      </c>
      <c r="Z25" s="906" t="s">
        <v>107</v>
      </c>
      <c r="AA25" s="904" t="s">
        <v>100</v>
      </c>
      <c r="AB25" s="906" t="s">
        <v>108</v>
      </c>
      <c r="AC25" s="919" t="s">
        <v>102</v>
      </c>
      <c r="AD25" s="906" t="s">
        <v>184</v>
      </c>
      <c r="AE25" s="914"/>
      <c r="AF25" s="924"/>
    </row>
    <row r="26" spans="1:34" ht="15" customHeight="1">
      <c r="A26" s="900"/>
      <c r="B26" s="902"/>
      <c r="C26" s="904"/>
      <c r="D26" s="906"/>
      <c r="E26" s="904"/>
      <c r="F26" s="906"/>
      <c r="G26" s="904"/>
      <c r="H26" s="906"/>
      <c r="I26" s="919"/>
      <c r="J26" s="902"/>
      <c r="K26" s="904"/>
      <c r="L26" s="906"/>
      <c r="M26" s="904"/>
      <c r="N26" s="906"/>
      <c r="O26" s="904"/>
      <c r="P26" s="906"/>
      <c r="Q26" s="919"/>
      <c r="R26" s="921"/>
      <c r="S26" s="927"/>
      <c r="T26" s="919"/>
      <c r="U26" s="914"/>
      <c r="V26" s="902"/>
      <c r="W26" s="904"/>
      <c r="X26" s="906"/>
      <c r="Y26" s="904"/>
      <c r="Z26" s="906"/>
      <c r="AA26" s="904"/>
      <c r="AB26" s="906"/>
      <c r="AC26" s="919"/>
      <c r="AD26" s="906"/>
      <c r="AE26" s="914"/>
      <c r="AF26" s="924"/>
    </row>
    <row r="27" spans="1:34" ht="15.75" customHeight="1" thickBot="1">
      <c r="A27" s="901"/>
      <c r="B27" s="903"/>
      <c r="C27" s="905"/>
      <c r="D27" s="907"/>
      <c r="E27" s="905"/>
      <c r="F27" s="907"/>
      <c r="G27" s="905"/>
      <c r="H27" s="907"/>
      <c r="I27" s="920"/>
      <c r="J27" s="903"/>
      <c r="K27" s="905"/>
      <c r="L27" s="907"/>
      <c r="M27" s="905"/>
      <c r="N27" s="907"/>
      <c r="O27" s="905"/>
      <c r="P27" s="907"/>
      <c r="Q27" s="920"/>
      <c r="R27" s="922"/>
      <c r="S27" s="928"/>
      <c r="T27" s="920"/>
      <c r="U27" s="915"/>
      <c r="V27" s="903"/>
      <c r="W27" s="905"/>
      <c r="X27" s="907"/>
      <c r="Y27" s="905"/>
      <c r="Z27" s="907"/>
      <c r="AA27" s="905"/>
      <c r="AB27" s="907"/>
      <c r="AC27" s="920"/>
      <c r="AD27" s="907"/>
      <c r="AE27" s="915"/>
      <c r="AF27" s="925"/>
    </row>
    <row r="28" spans="1:34">
      <c r="A28" s="65" t="s">
        <v>11</v>
      </c>
      <c r="B28" s="66">
        <f>[2]Электроэнергия!C35</f>
        <v>404.12983238198927</v>
      </c>
      <c r="C28" s="67">
        <f>B28*$D$7</f>
        <v>142164.79243533619</v>
      </c>
      <c r="D28" s="68">
        <f>[2]Электроэнергия!C36</f>
        <v>178.26625277564716</v>
      </c>
      <c r="E28" s="67">
        <f>D28*$D$8</f>
        <v>120447.37635039375</v>
      </c>
      <c r="F28" s="68">
        <f>[2]Электроэнергия!C37</f>
        <v>2380.7229671379023</v>
      </c>
      <c r="G28" s="67">
        <f>F28*$D$9</f>
        <v>2013425.0277678668</v>
      </c>
      <c r="H28" s="68">
        <f>[2]Электроэнергия!C38</f>
        <v>3179.5575024608656</v>
      </c>
      <c r="I28" s="69">
        <f>H28*$D$10</f>
        <v>3151863.5566144316</v>
      </c>
      <c r="J28" s="70">
        <f>[2]Электроэнергия!C24-[2]Передача!B28</f>
        <v>22509.968300310011</v>
      </c>
      <c r="K28" s="67">
        <f>J28*$D$14</f>
        <v>1053691.6161375116</v>
      </c>
      <c r="L28" s="67">
        <f>[2]Электроэнергия!C25-[2]Передача!D28</f>
        <v>5360.6681794243459</v>
      </c>
      <c r="M28" s="67">
        <f>L28*$D$15</f>
        <v>381947.60778398463</v>
      </c>
      <c r="N28" s="67">
        <f>[2]Электроэнергия!C26-[2]Передача!F28</f>
        <v>3797.4434159472953</v>
      </c>
      <c r="O28" s="67">
        <f>N28*$D$16</f>
        <v>378908.90404322115</v>
      </c>
      <c r="P28" s="67">
        <f>[2]Электроэнергия!C27-[2]Передача!H28</f>
        <v>848.64096254121023</v>
      </c>
      <c r="Q28" s="69">
        <f>P28*$D$11</f>
        <v>386971.79250916647</v>
      </c>
      <c r="R28" s="249">
        <f>J28+L28+N28+P28</f>
        <v>32516.72085822286</v>
      </c>
      <c r="S28" s="71">
        <f>[2]Электроэнергия!C29</f>
        <v>7914.4446040000003</v>
      </c>
      <c r="T28" s="69">
        <f>S28*$D$17</f>
        <v>1549489.96457112</v>
      </c>
      <c r="U28" s="72">
        <f>C28+E28+G28+I28+K28+M28+O28+Q28+T28</f>
        <v>9178910.638213031</v>
      </c>
      <c r="V28" s="66">
        <f>[2]Мощность!C24</f>
        <v>31.572487792456993</v>
      </c>
      <c r="W28" s="67">
        <f>V28*$D$19</f>
        <v>6707369.8103368375</v>
      </c>
      <c r="X28" s="68">
        <f>[2]Мощность!C25</f>
        <v>7.4448043443548295</v>
      </c>
      <c r="Y28" s="67">
        <f>X28*$D$20</f>
        <v>2663214.8196012774</v>
      </c>
      <c r="Z28" s="68">
        <f>[2]Мощность!C26</f>
        <v>8.3039870740392452</v>
      </c>
      <c r="AA28" s="67">
        <f>Z28*$D$21</f>
        <v>3893200.1950565432</v>
      </c>
      <c r="AB28" s="68">
        <f>[2]Мощность!C27</f>
        <v>5.4142452486587036</v>
      </c>
      <c r="AC28" s="69">
        <f>AB28*$D$22</f>
        <v>2500284.9202174675</v>
      </c>
      <c r="AD28" s="253">
        <f>V28+X28+Z28+AB28</f>
        <v>52.735524459509776</v>
      </c>
      <c r="AE28" s="72">
        <f>W28+Y28+AA28+AC28</f>
        <v>15764069.745212125</v>
      </c>
      <c r="AF28" s="73">
        <f>AE28+U28</f>
        <v>24942980.383425154</v>
      </c>
      <c r="AH28" s="74"/>
    </row>
    <row r="29" spans="1:34">
      <c r="A29" s="75" t="s">
        <v>12</v>
      </c>
      <c r="B29" s="76">
        <f>[2]Электроэнергия!D35</f>
        <v>354.99688573607631</v>
      </c>
      <c r="C29" s="77">
        <f>B29*$D$7</f>
        <v>124880.80446423692</v>
      </c>
      <c r="D29" s="78">
        <f>[2]Электроэнергия!D36</f>
        <v>128.25025564476445</v>
      </c>
      <c r="E29" s="77">
        <f>D29*$D$8</f>
        <v>86653.567728941547</v>
      </c>
      <c r="F29" s="78">
        <f>[2]Электроэнергия!D37</f>
        <v>1979.7070810039718</v>
      </c>
      <c r="G29" s="77">
        <f>F29*$D$9</f>
        <v>1674277.8725466791</v>
      </c>
      <c r="H29" s="78">
        <f>[2]Электроэнергия!D38</f>
        <v>2890.5391556805394</v>
      </c>
      <c r="I29" s="79">
        <f>H29*$D$10</f>
        <v>2865362.5596345617</v>
      </c>
      <c r="J29" s="80">
        <f>[2]Электроэнергия!D24-[2]Передача!B29</f>
        <v>20440.298575002995</v>
      </c>
      <c r="K29" s="77">
        <f>J29*$D$14</f>
        <v>956810.37629589019</v>
      </c>
      <c r="L29" s="77">
        <f>[2]Электроэнергия!D25-[2]Передача!D29</f>
        <v>5799.3969610866161</v>
      </c>
      <c r="M29" s="77">
        <f>L29*$D$15</f>
        <v>413207.03347742138</v>
      </c>
      <c r="N29" s="77">
        <f>[2]Электроэнергия!D26-[2]Передача!F29</f>
        <v>4056.1947956778463</v>
      </c>
      <c r="O29" s="77">
        <f>N29*$D$16</f>
        <v>404727.1167127355</v>
      </c>
      <c r="P29" s="77">
        <f>[2]Электроэнергия!D27-[2]Передача!H29</f>
        <v>949.67101923745986</v>
      </c>
      <c r="Q29" s="79">
        <f>P29*$D$11</f>
        <v>433040.48806208931</v>
      </c>
      <c r="R29" s="249">
        <f t="shared" ref="R29:R43" si="1">J29+L29+N29+P29</f>
        <v>31245.561351004915</v>
      </c>
      <c r="S29" s="81">
        <f>[2]Электроэнергия!D29</f>
        <v>7386.1040400000002</v>
      </c>
      <c r="T29" s="79">
        <f>S29*$D$17</f>
        <v>1446051.4489512001</v>
      </c>
      <c r="U29" s="82">
        <f>C29+E29+G29+I29+K29+M29+O29+Q29+T29</f>
        <v>8405011.2678737566</v>
      </c>
      <c r="V29" s="76">
        <f>[2]Мощность!D24</f>
        <v>31.119317008740044</v>
      </c>
      <c r="W29" s="77">
        <f>V29*$D$19</f>
        <v>6611096.6229462652</v>
      </c>
      <c r="X29" s="78">
        <f>[2]Мощность!D25</f>
        <v>8.5167345067979596</v>
      </c>
      <c r="Y29" s="77">
        <f>X29*$D$20</f>
        <v>3046674.2313131304</v>
      </c>
      <c r="Z29" s="78">
        <f>[2]Мощность!D26</f>
        <v>8.6722728113244507</v>
      </c>
      <c r="AA29" s="77">
        <f>Z29*$D$21</f>
        <v>4065865.4571109395</v>
      </c>
      <c r="AB29" s="78">
        <f>[2]Мощность!D27</f>
        <v>5.5175433547672394</v>
      </c>
      <c r="AC29" s="79">
        <f>AB29*$D$22</f>
        <v>2547987.7273731241</v>
      </c>
      <c r="AD29" s="253">
        <f t="shared" ref="AD29:AD44" si="2">V29+X29+Z29+AB29</f>
        <v>53.825867681629688</v>
      </c>
      <c r="AE29" s="82">
        <f>W29+Y29+AA29+AC29</f>
        <v>16271624.038743459</v>
      </c>
      <c r="AF29" s="83">
        <f>AE29+U29</f>
        <v>24676635.306617215</v>
      </c>
      <c r="AH29" s="74"/>
    </row>
    <row r="30" spans="1:34">
      <c r="A30" s="75" t="s">
        <v>13</v>
      </c>
      <c r="B30" s="76">
        <f>[2]Электроэнергия!E35</f>
        <v>300.87841526879612</v>
      </c>
      <c r="C30" s="77">
        <f>B30*$D$7</f>
        <v>105843.00892325709</v>
      </c>
      <c r="D30" s="78">
        <f>[2]Электроэнергия!E36</f>
        <v>101.72750168534365</v>
      </c>
      <c r="E30" s="77">
        <f>D30*$D$8</f>
        <v>68733.203788719286</v>
      </c>
      <c r="F30" s="78">
        <f>[2]Электроэнергия!E37</f>
        <v>1691.4113717761711</v>
      </c>
      <c r="G30" s="77">
        <f>F30*$D$9</f>
        <v>1430460.4253385435</v>
      </c>
      <c r="H30" s="78">
        <f>[2]Электроэнергия!E38</f>
        <v>2208.1370483063956</v>
      </c>
      <c r="I30" s="79">
        <f>H30*$D$10</f>
        <v>2188904.1746156467</v>
      </c>
      <c r="J30" s="80">
        <f>[2]Электроэнергия!E24-[2]Передача!B30</f>
        <v>18759.701921642009</v>
      </c>
      <c r="K30" s="77">
        <f>J30*$D$14</f>
        <v>878141.6469520625</v>
      </c>
      <c r="L30" s="77">
        <f>[2]Электроэнергия!E25-[2]Передача!D30</f>
        <v>8586.7458548281247</v>
      </c>
      <c r="M30" s="77">
        <f>L30*$D$15</f>
        <v>611805.64215650386</v>
      </c>
      <c r="N30" s="77">
        <f>[2]Электроэнергия!E26-[2]Передача!F30</f>
        <v>3981.039667265627</v>
      </c>
      <c r="O30" s="77">
        <f>N30*$D$16</f>
        <v>397228.13799976429</v>
      </c>
      <c r="P30" s="77">
        <f>[2]Электроэнергия!E27-[2]Передача!H30</f>
        <v>819.62553075560299</v>
      </c>
      <c r="Q30" s="79">
        <f>P30*$D$11</f>
        <v>373741.0457692474</v>
      </c>
      <c r="R30" s="249">
        <f t="shared" si="1"/>
        <v>32147.112974491363</v>
      </c>
      <c r="S30" s="81">
        <f>[2]Электроэнергия!E29</f>
        <v>7423.6778700000013</v>
      </c>
      <c r="T30" s="79">
        <f>S30*$D$17</f>
        <v>1453407.6533886003</v>
      </c>
      <c r="U30" s="82">
        <f>C30+E30+G30+I30+K30+M30+O30+Q30+T30</f>
        <v>7508264.9389323462</v>
      </c>
      <c r="V30" s="76">
        <f>[2]Мощность!E24</f>
        <v>29.912167750851324</v>
      </c>
      <c r="W30" s="77">
        <f>V30*$D$19</f>
        <v>6354645.6095779836</v>
      </c>
      <c r="X30" s="78">
        <f>[2]Мощность!E25</f>
        <v>11.67805558671165</v>
      </c>
      <c r="Y30" s="77">
        <f>X30*$D$20</f>
        <v>4177567.2353620734</v>
      </c>
      <c r="Z30" s="78">
        <f>[2]Мощность!E26</f>
        <v>7.624262149249728</v>
      </c>
      <c r="AA30" s="77">
        <f>Z30*$D$21</f>
        <v>3574521.3259566035</v>
      </c>
      <c r="AB30" s="78">
        <f>[2]Мощность!E27</f>
        <v>4.0695733589542984</v>
      </c>
      <c r="AC30" s="79">
        <f>AB30*$D$22</f>
        <v>1879318.8032316975</v>
      </c>
      <c r="AD30" s="253">
        <f t="shared" si="2"/>
        <v>53.284058845767007</v>
      </c>
      <c r="AE30" s="82">
        <f>W30+Y30+AA30+AC30</f>
        <v>15986052.974128358</v>
      </c>
      <c r="AF30" s="83">
        <f>AE30+U30</f>
        <v>23494317.913060702</v>
      </c>
      <c r="AH30" s="74"/>
    </row>
    <row r="31" spans="1:34">
      <c r="A31" s="84" t="s">
        <v>109</v>
      </c>
      <c r="B31" s="85">
        <f t="shared" ref="B31:U31" si="3">SUM(B28:B30)</f>
        <v>1060.0051333868616</v>
      </c>
      <c r="C31" s="86">
        <f t="shared" si="3"/>
        <v>372888.60582283023</v>
      </c>
      <c r="D31" s="87">
        <f t="shared" si="3"/>
        <v>408.24401010575525</v>
      </c>
      <c r="E31" s="86">
        <f>SUM(E28:E30)</f>
        <v>275834.14786805457</v>
      </c>
      <c r="F31" s="87">
        <f>SUM(F28:F30)</f>
        <v>6051.8414199180452</v>
      </c>
      <c r="G31" s="86">
        <f>SUM(G28:G30)</f>
        <v>5118163.3256530892</v>
      </c>
      <c r="H31" s="87">
        <f>SUM(H28:H30)</f>
        <v>8278.2337064478015</v>
      </c>
      <c r="I31" s="88">
        <f>SUM(I28:I30)</f>
        <v>8206130.2908646399</v>
      </c>
      <c r="J31" s="85">
        <f t="shared" si="3"/>
        <v>61709.968796955014</v>
      </c>
      <c r="K31" s="86">
        <f t="shared" si="3"/>
        <v>2888643.6393854641</v>
      </c>
      <c r="L31" s="87">
        <f t="shared" si="3"/>
        <v>19746.810995339089</v>
      </c>
      <c r="M31" s="86">
        <f>SUM(M28:M30)</f>
        <v>1406960.2834179099</v>
      </c>
      <c r="N31" s="87">
        <f t="shared" si="3"/>
        <v>11834.677878890769</v>
      </c>
      <c r="O31" s="86">
        <f>SUM(O28:O30)</f>
        <v>1180864.1587557211</v>
      </c>
      <c r="P31" s="87">
        <f t="shared" si="3"/>
        <v>2617.9375125342731</v>
      </c>
      <c r="Q31" s="88">
        <f>SUM(Q28:Q30)</f>
        <v>1193753.3263405033</v>
      </c>
      <c r="R31" s="249">
        <f t="shared" si="1"/>
        <v>95909.395183719156</v>
      </c>
      <c r="S31" s="89">
        <f t="shared" si="3"/>
        <v>22724.226514000002</v>
      </c>
      <c r="T31" s="90">
        <f>SUM(T28:T30)</f>
        <v>4448949.0669109207</v>
      </c>
      <c r="U31" s="91">
        <f t="shared" si="3"/>
        <v>25092186.845019132</v>
      </c>
      <c r="V31" s="85">
        <f>SUM(V28:V30)/3</f>
        <v>30.867990850682787</v>
      </c>
      <c r="W31" s="86">
        <f>SUM(W28:W30)</f>
        <v>19673112.042861085</v>
      </c>
      <c r="X31" s="87">
        <f>SUM(X28:X30)/3</f>
        <v>9.2131981459548129</v>
      </c>
      <c r="Y31" s="86">
        <f>SUM(Y28:Y30)</f>
        <v>9887456.286276482</v>
      </c>
      <c r="Z31" s="87">
        <f>SUM(Z28:Z30)/3</f>
        <v>8.2001740115378077</v>
      </c>
      <c r="AA31" s="86">
        <f>SUM(AA28:AA30)</f>
        <v>11533586.978124086</v>
      </c>
      <c r="AB31" s="87">
        <f>SUM(AB28:AB30)/3</f>
        <v>5.0004539874600802</v>
      </c>
      <c r="AC31" s="88">
        <f>SUM(AC28:AC30)</f>
        <v>6927591.4508222891</v>
      </c>
      <c r="AD31" s="253">
        <f t="shared" si="2"/>
        <v>53.281816995635481</v>
      </c>
      <c r="AE31" s="91">
        <f>SUM(AE28:AE30)</f>
        <v>48021746.75808394</v>
      </c>
      <c r="AF31" s="92">
        <f>SUM(AF28:AF30)</f>
        <v>73113933.603103071</v>
      </c>
    </row>
    <row r="32" spans="1:34">
      <c r="A32" s="75" t="s">
        <v>14</v>
      </c>
      <c r="B32" s="76">
        <f>[2]Электроэнергия!G35</f>
        <v>192.80714020562237</v>
      </c>
      <c r="C32" s="77">
        <f>B32*$D$7</f>
        <v>67825.695781533839</v>
      </c>
      <c r="D32" s="78">
        <f>[2]Электроэнергия!G36</f>
        <v>64.609730077178313</v>
      </c>
      <c r="E32" s="93">
        <f>D32*$D$8</f>
        <v>43654.210223946298</v>
      </c>
      <c r="F32" s="78">
        <f>[2]Электроэнергия!G37</f>
        <v>1443.9105257870463</v>
      </c>
      <c r="G32" s="93">
        <f>F32*$D$9</f>
        <v>1221144.0098686209</v>
      </c>
      <c r="H32" s="78">
        <f>[2]Электроэнергия!G38</f>
        <v>1631.3763419230111</v>
      </c>
      <c r="I32" s="79">
        <f>H32*$D$10</f>
        <v>1617167.0539848616</v>
      </c>
      <c r="J32" s="80">
        <f>[2]Электроэнергия!G24-[2]Передача!B32</f>
        <v>24395.478336238375</v>
      </c>
      <c r="K32" s="77">
        <f>J32*$D$14</f>
        <v>1141952.3409193184</v>
      </c>
      <c r="L32" s="77">
        <f>[2]Электроэнергия!G25-[2]Передача!D32</f>
        <v>12823.288253659177</v>
      </c>
      <c r="M32" s="93">
        <f>L32*$D$15</f>
        <v>913659.28807321633</v>
      </c>
      <c r="N32" s="77">
        <f>[2]Электроэнергия!G26-[2]Передача!F32</f>
        <v>3387.9205458550568</v>
      </c>
      <c r="O32" s="93">
        <f>N32*$D$16</f>
        <v>338046.71206541755</v>
      </c>
      <c r="P32" s="77">
        <f>[2]Электроэнергия!G27-[2]Передача!H32</f>
        <v>766.63805804698791</v>
      </c>
      <c r="Q32" s="79">
        <f>P32*$D$11</f>
        <v>349579.28808884602</v>
      </c>
      <c r="R32" s="249">
        <f t="shared" si="1"/>
        <v>41373.325193799596</v>
      </c>
      <c r="S32" s="81">
        <f>[2]Электроэнергия!G29</f>
        <v>5161.4709299999995</v>
      </c>
      <c r="T32" s="79">
        <f>S32*$D$17</f>
        <v>1010512.7786754</v>
      </c>
      <c r="U32" s="82">
        <f>C32+E32+G32+I32+K32+M32+O32+Q32+T32</f>
        <v>6703541.3776811603</v>
      </c>
      <c r="V32" s="76">
        <f>[2]Мощность!G24</f>
        <v>34.950164251861118</v>
      </c>
      <c r="W32" s="77">
        <f>V32*$D$19</f>
        <v>7424935.2192402575</v>
      </c>
      <c r="X32" s="78">
        <f>[2]Мощность!G25</f>
        <v>17.899858310744936</v>
      </c>
      <c r="Y32" s="93">
        <f>X32*$D$20</f>
        <v>6403280.1557889981</v>
      </c>
      <c r="Z32" s="78">
        <f>[2]Мощность!G26</f>
        <v>6.7108764883918095</v>
      </c>
      <c r="AA32" s="93">
        <f>Z32*$D$21</f>
        <v>3146294.1139789983</v>
      </c>
      <c r="AB32" s="78">
        <f>[2]Мощность!G27</f>
        <v>3.3305755555138878</v>
      </c>
      <c r="AC32" s="79">
        <f>AB32*$D$22</f>
        <v>1538051.4650974246</v>
      </c>
      <c r="AD32" s="253">
        <f t="shared" si="2"/>
        <v>62.891474606511757</v>
      </c>
      <c r="AE32" s="82">
        <f>W32+Y32+AA32+AC32</f>
        <v>18512560.954105675</v>
      </c>
      <c r="AF32" s="83">
        <f>AE32+U32</f>
        <v>25216102.331786834</v>
      </c>
      <c r="AH32" s="74"/>
    </row>
    <row r="33" spans="1:36">
      <c r="A33" s="75" t="s">
        <v>15</v>
      </c>
      <c r="B33" s="76">
        <f>[2]Электроэнергия!H35</f>
        <v>126.82229743959086</v>
      </c>
      <c r="C33" s="77">
        <f>B33*$D$7</f>
        <v>44613.547793299265</v>
      </c>
      <c r="D33" s="78">
        <f>[2]Электроэнергия!H36</f>
        <v>45.106579847102509</v>
      </c>
      <c r="E33" s="93">
        <f>D33*$D$8</f>
        <v>30476.711739493279</v>
      </c>
      <c r="F33" s="78">
        <f>[2]Электроэнергия!H37</f>
        <v>1078.4932353380514</v>
      </c>
      <c r="G33" s="93">
        <f>F33*$D$9</f>
        <v>912103.29899009678</v>
      </c>
      <c r="H33" s="78">
        <f>[2]Электроэнергия!H38</f>
        <v>1335.2345956750216</v>
      </c>
      <c r="I33" s="79">
        <f>H33*$D$10</f>
        <v>1323604.7023466921</v>
      </c>
      <c r="J33" s="80">
        <f>[2]Электроэнергия!H24-[2]Передача!B33</f>
        <v>26500.013573352393</v>
      </c>
      <c r="K33" s="77">
        <f>J33*$D$14</f>
        <v>1240465.6353686256</v>
      </c>
      <c r="L33" s="77">
        <f>[2]Электроэнергия!H25-[2]Передача!D33</f>
        <v>18569.00915437271</v>
      </c>
      <c r="M33" s="93">
        <f>L33*$D$15</f>
        <v>1323041.9022490557</v>
      </c>
      <c r="N33" s="77">
        <f>[2]Электроэнергия!H26-[2]Передача!F33</f>
        <v>2910.2472955204703</v>
      </c>
      <c r="O33" s="93">
        <f>N33*$D$16</f>
        <v>290384.47514703253</v>
      </c>
      <c r="P33" s="77">
        <f>[2]Электроэнергия!H27-[2]Передача!H33</f>
        <v>551.96683392997807</v>
      </c>
      <c r="Q33" s="79">
        <f>P33*$D$11</f>
        <v>251691.3566037307</v>
      </c>
      <c r="R33" s="249">
        <f t="shared" si="1"/>
        <v>48531.236857175551</v>
      </c>
      <c r="S33" s="81">
        <f>[2]Электроэнергия!H29</f>
        <v>3973.4333100000003</v>
      </c>
      <c r="T33" s="79">
        <f>S33*$D$17</f>
        <v>777918.77343180007</v>
      </c>
      <c r="U33" s="82">
        <f>C33+E33+G33+I33+K33+M33+O33+Q33+T33</f>
        <v>6194300.4036698258</v>
      </c>
      <c r="V33" s="76">
        <f>[2]Мощность!H24</f>
        <v>36.562726687752658</v>
      </c>
      <c r="W33" s="77">
        <f>V33*$D$19</f>
        <v>7767513.6270895815</v>
      </c>
      <c r="X33" s="78">
        <f>[2]Мощность!H25</f>
        <v>25.01897276104814</v>
      </c>
      <c r="Y33" s="93">
        <f>X33*$D$20</f>
        <v>8949986.5874847732</v>
      </c>
      <c r="Z33" s="78">
        <f>[2]Мощность!H26</f>
        <v>5.361210390938874</v>
      </c>
      <c r="AA33" s="93">
        <f>Z33*$D$21</f>
        <v>2513523.3416963466</v>
      </c>
      <c r="AB33" s="78">
        <f>[2]Мощность!H27</f>
        <v>2.5365610612970428</v>
      </c>
      <c r="AC33" s="79">
        <f>AB33*$D$22</f>
        <v>1171377.5567043212</v>
      </c>
      <c r="AD33" s="253">
        <f t="shared" si="2"/>
        <v>69.479470901036706</v>
      </c>
      <c r="AE33" s="82">
        <f>W33+Y33+AA33+AC33</f>
        <v>20402401.112975024</v>
      </c>
      <c r="AF33" s="83">
        <f>AE33+U33</f>
        <v>26596701.51664485</v>
      </c>
      <c r="AH33" s="74"/>
    </row>
    <row r="34" spans="1:36">
      <c r="A34" s="75" t="s">
        <v>16</v>
      </c>
      <c r="B34" s="76">
        <f>[2]Электроэнергия!I35</f>
        <v>59.406354965612415</v>
      </c>
      <c r="C34" s="77">
        <f>B34*$D$7</f>
        <v>20897.967549803136</v>
      </c>
      <c r="D34" s="78">
        <f>[2]Электроэнергия!I36</f>
        <v>20.850206925438833</v>
      </c>
      <c r="E34" s="93">
        <f>D34*$D$8</f>
        <v>14087.650811242002</v>
      </c>
      <c r="F34" s="78">
        <f>[2]Электроэнергия!I37</f>
        <v>767.35142862291571</v>
      </c>
      <c r="G34" s="93">
        <f>F34*$D$9</f>
        <v>648964.45021497225</v>
      </c>
      <c r="H34" s="78">
        <f>[2]Электроэнергия!I38</f>
        <v>993.00423183311568</v>
      </c>
      <c r="I34" s="79">
        <f>H34*$D$10</f>
        <v>984355.1649738492</v>
      </c>
      <c r="J34" s="80">
        <f>[2]Электроэнергия!I24-[2]Передача!B34</f>
        <v>27729.465101130387</v>
      </c>
      <c r="K34" s="77">
        <f>J34*$D$14</f>
        <v>1298016.2613839135</v>
      </c>
      <c r="L34" s="77">
        <f>[2]Электроэнергия!I25-[2]Передача!D34</f>
        <v>18349.605439691615</v>
      </c>
      <c r="M34" s="93">
        <f>L34*$D$15</f>
        <v>1307409.3875780276</v>
      </c>
      <c r="N34" s="77">
        <f>[2]Электроэнергия!I26-[2]Передача!F34</f>
        <v>1531.889679381884</v>
      </c>
      <c r="O34" s="93">
        <f>N34*$D$16</f>
        <v>152851.9522087244</v>
      </c>
      <c r="P34" s="77">
        <f>[2]Электроэнергия!I27-[2]Передача!H34</f>
        <v>146.49610856688423</v>
      </c>
      <c r="Q34" s="79">
        <f>P34*$D$11</f>
        <v>66800.760545413548</v>
      </c>
      <c r="R34" s="249">
        <f t="shared" si="1"/>
        <v>47757.456328770772</v>
      </c>
      <c r="S34" s="81">
        <f>[2]Электроэнергия!I29</f>
        <v>5537.7921899999992</v>
      </c>
      <c r="T34" s="79">
        <f>S34*$D$17</f>
        <v>1084188.9549581998</v>
      </c>
      <c r="U34" s="82">
        <f>C34+E34+G34+I34+K34+M34+O34+Q34+T34</f>
        <v>5577572.5502241459</v>
      </c>
      <c r="V34" s="76">
        <f>[2]Мощность!I24</f>
        <v>39.795306435333337</v>
      </c>
      <c r="W34" s="77">
        <f>V34*$D$19</f>
        <v>8454254.1826947387</v>
      </c>
      <c r="X34" s="78">
        <f>[2]Мощность!I25</f>
        <v>25.514521731412575</v>
      </c>
      <c r="Y34" s="93">
        <f>X34*$D$20</f>
        <v>9127258.3196443226</v>
      </c>
      <c r="Z34" s="78">
        <f>[2]Мощность!I26</f>
        <v>3.1933904277844434</v>
      </c>
      <c r="AA34" s="93">
        <f>Z34*$D$21</f>
        <v>1497173.3608798408</v>
      </c>
      <c r="AB34" s="78">
        <f>[2]Мощность!I27</f>
        <v>1.5826393616666665</v>
      </c>
      <c r="AC34" s="79">
        <f>AB34*$D$22</f>
        <v>730858.90061926248</v>
      </c>
      <c r="AD34" s="253">
        <f t="shared" si="2"/>
        <v>70.085857956197017</v>
      </c>
      <c r="AE34" s="82">
        <f>W34+Y34+AA34+AC34</f>
        <v>19809544.763838165</v>
      </c>
      <c r="AF34" s="83">
        <f>AE34+U34</f>
        <v>25387117.314062312</v>
      </c>
      <c r="AH34" s="74"/>
    </row>
    <row r="35" spans="1:36">
      <c r="A35" s="84" t="s">
        <v>110</v>
      </c>
      <c r="B35" s="94">
        <f t="shared" ref="B35:U35" si="4">SUM(B31:B34)</f>
        <v>1439.0409259976871</v>
      </c>
      <c r="C35" s="95">
        <f t="shared" si="4"/>
        <v>506225.81694746646</v>
      </c>
      <c r="D35" s="96">
        <f t="shared" si="4"/>
        <v>538.81052695547487</v>
      </c>
      <c r="E35" s="95">
        <f>SUM(E31:E34)</f>
        <v>364052.72064273618</v>
      </c>
      <c r="F35" s="96">
        <f>SUM(F31:F34)</f>
        <v>9341.5966096660595</v>
      </c>
      <c r="G35" s="95">
        <f>SUM(G31:G34)</f>
        <v>7900375.0847267788</v>
      </c>
      <c r="H35" s="96">
        <f>SUM(H31:H34)</f>
        <v>12237.84887587895</v>
      </c>
      <c r="I35" s="97">
        <f>SUM(I31:I34)</f>
        <v>12131257.212170042</v>
      </c>
      <c r="J35" s="94">
        <f t="shared" si="4"/>
        <v>140334.92580767616</v>
      </c>
      <c r="K35" s="95">
        <f t="shared" si="4"/>
        <v>6569077.8770573214</v>
      </c>
      <c r="L35" s="96">
        <f t="shared" si="4"/>
        <v>69488.713843062593</v>
      </c>
      <c r="M35" s="95">
        <f>SUM(M31:M34)</f>
        <v>4951070.8613182092</v>
      </c>
      <c r="N35" s="96">
        <f t="shared" si="4"/>
        <v>19664.735399648183</v>
      </c>
      <c r="O35" s="95">
        <f>SUM(O31:O34)</f>
        <v>1962147.2981768954</v>
      </c>
      <c r="P35" s="96">
        <f t="shared" si="4"/>
        <v>4083.0385130781228</v>
      </c>
      <c r="Q35" s="97">
        <f>SUM(Q31:Q34)</f>
        <v>1861824.7315784935</v>
      </c>
      <c r="R35" s="249">
        <f t="shared" si="1"/>
        <v>233571.41356346506</v>
      </c>
      <c r="S35" s="98">
        <f t="shared" si="4"/>
        <v>37396.922943999998</v>
      </c>
      <c r="T35" s="97">
        <f>SUM(T31:T34)</f>
        <v>7321569.5739763202</v>
      </c>
      <c r="U35" s="99">
        <f t="shared" si="4"/>
        <v>43567601.176594265</v>
      </c>
      <c r="V35" s="94">
        <f>SUM(V32:V34)/3</f>
        <v>37.102732458315707</v>
      </c>
      <c r="W35" s="95">
        <f>SUM(W31:W34)</f>
        <v>43319815.071885668</v>
      </c>
      <c r="X35" s="95">
        <f>SUM(X32:X34)/3</f>
        <v>22.811117601068549</v>
      </c>
      <c r="Y35" s="95">
        <f>SUM(Y31:Y34)</f>
        <v>34367981.349194579</v>
      </c>
      <c r="Z35" s="95">
        <f>SUM(Z32:Z34)/3</f>
        <v>5.0884924357050423</v>
      </c>
      <c r="AA35" s="95">
        <f>SUM(AA31:AA34)</f>
        <v>18690577.794679273</v>
      </c>
      <c r="AB35" s="95">
        <f>SUM(AB32:AB34)/3</f>
        <v>2.4832586594925323</v>
      </c>
      <c r="AC35" s="97">
        <f>SUM(AC31:AC34)</f>
        <v>10367879.373243298</v>
      </c>
      <c r="AD35" s="253">
        <f t="shared" si="2"/>
        <v>67.485601154581829</v>
      </c>
      <c r="AE35" s="99">
        <f>SUM(AE31:AE34)</f>
        <v>106746253.58900282</v>
      </c>
      <c r="AF35" s="100">
        <f>SUM(AF31:AF34)</f>
        <v>150313854.76559708</v>
      </c>
      <c r="AH35" s="74"/>
    </row>
    <row r="36" spans="1:36">
      <c r="A36" s="75" t="s">
        <v>17</v>
      </c>
      <c r="B36" s="101">
        <f>[2]Электроэнергия!K35</f>
        <v>60.565965355783831</v>
      </c>
      <c r="C36" s="102">
        <f>B36*$F$7</f>
        <v>22712.237008418935</v>
      </c>
      <c r="D36" s="103">
        <f>[2]Электроэнергия!K36</f>
        <v>26.294546848219515</v>
      </c>
      <c r="E36" s="104">
        <f>D36*$F$8</f>
        <v>18938.647367430105</v>
      </c>
      <c r="F36" s="103">
        <f>[2]Электроэнергия!K37</f>
        <v>787.80689292938928</v>
      </c>
      <c r="G36" s="102">
        <f>F36*$F$9</f>
        <v>710239.42625156161</v>
      </c>
      <c r="H36" s="103">
        <f>[2]Электроэнергия!K38</f>
        <v>1245.3833134654742</v>
      </c>
      <c r="I36" s="105">
        <f>H36*$F$10</f>
        <v>1316021.455005236</v>
      </c>
      <c r="J36" s="106">
        <f>[2]Электроэнергия!K24-[2]Передача!B36</f>
        <v>28270.743485636212</v>
      </c>
      <c r="K36" s="102">
        <f>J36*$F$14</f>
        <v>1410710.0999332468</v>
      </c>
      <c r="L36" s="102">
        <f>[2]Электроэнергия!K25-[2]Передача!D36</f>
        <v>23140.996231151781</v>
      </c>
      <c r="M36" s="104">
        <f>L36*$F$15</f>
        <v>1757558.6637559778</v>
      </c>
      <c r="N36" s="102">
        <f>[2]Электроэнергия!K26-[2]Передача!F36</f>
        <v>1572.7256164626112</v>
      </c>
      <c r="O36" s="102">
        <f>N36*$F$16</f>
        <v>167290.82382312795</v>
      </c>
      <c r="P36" s="102">
        <f>[2]Электроэнергия!K27-[2]Передача!H36</f>
        <v>183.72913553452577</v>
      </c>
      <c r="Q36" s="105">
        <f>P36*$F$11</f>
        <v>89308.89549197763</v>
      </c>
      <c r="R36" s="249">
        <f t="shared" si="1"/>
        <v>53168.194468785128</v>
      </c>
      <c r="S36" s="81">
        <f>[2]Электроэнергия!K29</f>
        <v>4440.6085499999999</v>
      </c>
      <c r="T36" s="79">
        <f>S36*$F$17</f>
        <v>926755.00438499998</v>
      </c>
      <c r="U36" s="82">
        <f>C36+E36+G36+I36+K36+M36+O36+Q36+T36</f>
        <v>6419535.253021976</v>
      </c>
      <c r="V36" s="101">
        <f>[2]Мощность!K24</f>
        <v>38.853685800924723</v>
      </c>
      <c r="W36" s="102">
        <f>V36*$F$19</f>
        <v>8798991.0185586829</v>
      </c>
      <c r="X36" s="103">
        <f>[2]Мощность!K25</f>
        <v>31.138831690860219</v>
      </c>
      <c r="Y36" s="104">
        <f>X36*$F$20</f>
        <v>11874420.733494205</v>
      </c>
      <c r="Z36" s="103">
        <f>[2]Мощность!K26</f>
        <v>3.1727587491827958</v>
      </c>
      <c r="AA36" s="102">
        <f>Z36*$F$21</f>
        <v>1585675.529790479</v>
      </c>
      <c r="AB36" s="103">
        <f>[2]Мощность!K27</f>
        <v>1.9208500658602152</v>
      </c>
      <c r="AC36" s="105">
        <f>AB36*$F$22</f>
        <v>945588.65594041254</v>
      </c>
      <c r="AD36" s="253">
        <f t="shared" si="2"/>
        <v>75.08612630682795</v>
      </c>
      <c r="AE36" s="82">
        <f>W36+Y36+AA36+AC36</f>
        <v>23204675.937783781</v>
      </c>
      <c r="AF36" s="83">
        <f>AE36+U36</f>
        <v>29624211.190805756</v>
      </c>
      <c r="AH36" s="74"/>
    </row>
    <row r="37" spans="1:36">
      <c r="A37" s="75" t="s">
        <v>18</v>
      </c>
      <c r="B37" s="101">
        <f>[2]Электроэнергия!L35</f>
        <v>142.10526689276901</v>
      </c>
      <c r="C37" s="102">
        <f>B37*$F$7</f>
        <v>53289.475084788377</v>
      </c>
      <c r="D37" s="103">
        <f>[2]Электроэнергия!L36</f>
        <v>54.371040324877896</v>
      </c>
      <c r="E37" s="104">
        <f>D37*$F$8</f>
        <v>39160.741793993308</v>
      </c>
      <c r="F37" s="103">
        <f>[2]Электроэнергия!L37</f>
        <v>657.48859021867236</v>
      </c>
      <c r="G37" s="102">
        <f>F37*$F$9</f>
        <v>592752.26362574182</v>
      </c>
      <c r="H37" s="103">
        <f>[2]Электроэнергия!L38</f>
        <v>815.5585771274126</v>
      </c>
      <c r="I37" s="105">
        <f>H37*$F$10</f>
        <v>861817.05962207948</v>
      </c>
      <c r="J37" s="106">
        <f>[2]Электроэнергия!L24-[2]Передача!B37</f>
        <v>29693.449634099226</v>
      </c>
      <c r="K37" s="102">
        <f>J37*$F$14</f>
        <v>1481703.1367415513</v>
      </c>
      <c r="L37" s="102">
        <f>[2]Электроэнергия!L25-[2]Передача!D37</f>
        <v>22382.906195675125</v>
      </c>
      <c r="M37" s="104">
        <f>L37*$F$15</f>
        <v>1699981.7255615259</v>
      </c>
      <c r="N37" s="102">
        <f>[2]Электроэнергия!L26-[2]Передача!F37</f>
        <v>1774.1922979421279</v>
      </c>
      <c r="O37" s="102">
        <f>N37*$F$16</f>
        <v>188720.83473210415</v>
      </c>
      <c r="P37" s="102">
        <f>[2]Электроэнергия!L27-[2]Передача!H37</f>
        <v>337.14022027258704</v>
      </c>
      <c r="Q37" s="105">
        <f>P37*$F$11</f>
        <v>163880.48967230183</v>
      </c>
      <c r="R37" s="249">
        <f t="shared" si="1"/>
        <v>54187.688347989068</v>
      </c>
      <c r="S37" s="81">
        <f>[2]Электроэнергия!L29</f>
        <v>3813.4956299999999</v>
      </c>
      <c r="T37" s="79">
        <f>S37*$F$17</f>
        <v>795876.53798099991</v>
      </c>
      <c r="U37" s="82">
        <f>C37+E37+G37+I37+K37+M37+O37+Q37+T37</f>
        <v>5877182.2648150865</v>
      </c>
      <c r="V37" s="101">
        <f>[2]Мощность!L24</f>
        <v>40.875521083182797</v>
      </c>
      <c r="W37" s="102">
        <f>V37*$F$19</f>
        <v>9256865.4807331432</v>
      </c>
      <c r="X37" s="103">
        <f>[2]Мощность!L25</f>
        <v>30.157630693548391</v>
      </c>
      <c r="Y37" s="104">
        <f>X37*$F$20</f>
        <v>11500251.478145279</v>
      </c>
      <c r="Z37" s="103">
        <f>[2]Мощность!L26</f>
        <v>3.2683882905387094</v>
      </c>
      <c r="AA37" s="102">
        <f>Z37*$F$21</f>
        <v>1633469.0860109816</v>
      </c>
      <c r="AB37" s="103">
        <f>[2]Мощность!L27</f>
        <v>1.5493263405913975</v>
      </c>
      <c r="AC37" s="105">
        <f>AB37*$F$22</f>
        <v>762696.39054665854</v>
      </c>
      <c r="AD37" s="253">
        <f>V37+X37+Z37+AB37</f>
        <v>75.85086640786129</v>
      </c>
      <c r="AE37" s="82">
        <f>W37+Y37+AA37+AC37</f>
        <v>23153282.435436059</v>
      </c>
      <c r="AF37" s="83">
        <f>AE37+U37</f>
        <v>29030464.700251147</v>
      </c>
      <c r="AH37" s="74"/>
    </row>
    <row r="38" spans="1:36">
      <c r="A38" s="75" t="s">
        <v>19</v>
      </c>
      <c r="B38" s="101">
        <f>[2]Электроэнергия!M35</f>
        <v>218.8836629360963</v>
      </c>
      <c r="C38" s="102">
        <f>B38*$F$7</f>
        <v>82081.373601036117</v>
      </c>
      <c r="D38" s="103">
        <f>[2]Электроэнергия!M36</f>
        <v>124.78396187389775</v>
      </c>
      <c r="E38" s="104">
        <f>D38*$F$8</f>
        <v>89875.648539674861</v>
      </c>
      <c r="F38" s="103">
        <f>[2]Электроэнергия!M37</f>
        <v>1117.2214010024179</v>
      </c>
      <c r="G38" s="102">
        <f>F38*$F$9</f>
        <v>1007219.7818597198</v>
      </c>
      <c r="H38" s="103">
        <f>[2]Электроэнергия!M38</f>
        <v>1328.6594796009917</v>
      </c>
      <c r="I38" s="105">
        <f>H38*$F$10</f>
        <v>1404021.0452839599</v>
      </c>
      <c r="J38" s="106">
        <f>[2]Электроэнергия!M24-[2]Передача!B38</f>
        <v>27694.885426023906</v>
      </c>
      <c r="K38" s="102">
        <f>J38*$F$14</f>
        <v>1381974.7827585929</v>
      </c>
      <c r="L38" s="102">
        <f>[2]Электроэнергия!M25-[2]Передача!D38</f>
        <v>24766.249768126105</v>
      </c>
      <c r="M38" s="104">
        <f>L38*$F$15</f>
        <v>1880996.6698891777</v>
      </c>
      <c r="N38" s="102">
        <f>[2]Электроэнергия!M26-[2]Передача!F38</f>
        <v>2621.3932727319816</v>
      </c>
      <c r="O38" s="102">
        <f>N38*$F$16</f>
        <v>278837.60242050089</v>
      </c>
      <c r="P38" s="102">
        <f>[2]Электроэнергия!M27-[2]Передача!H38</f>
        <v>624.38132579900821</v>
      </c>
      <c r="Q38" s="105">
        <f>P38*$F$11</f>
        <v>303505.51865763991</v>
      </c>
      <c r="R38" s="249">
        <f t="shared" si="1"/>
        <v>55706.909792681006</v>
      </c>
      <c r="S38" s="81">
        <f>[2]Электроэнергия!M29</f>
        <v>4636.7470800000001</v>
      </c>
      <c r="T38" s="79">
        <f>S38*$F$17</f>
        <v>967689.11559599999</v>
      </c>
      <c r="U38" s="82">
        <f>C38+E38+G38+I38+K38+M38+O38+Q38+T38</f>
        <v>7396201.5386063019</v>
      </c>
      <c r="V38" s="101">
        <f>[2]Мощность!M24</f>
        <v>42.767962518666664</v>
      </c>
      <c r="W38" s="102">
        <f>V38*$F$19</f>
        <v>9685436.7951584663</v>
      </c>
      <c r="X38" s="103">
        <f>[2]Мощность!M25</f>
        <v>34.570880180555555</v>
      </c>
      <c r="Y38" s="104">
        <f>X38*$F$20</f>
        <v>13183191.343419101</v>
      </c>
      <c r="Z38" s="103">
        <f>[2]Мощность!M26</f>
        <v>5.1925203801866662</v>
      </c>
      <c r="AA38" s="102">
        <f>Z38*$F$21</f>
        <v>2595108.2813721923</v>
      </c>
      <c r="AB38" s="103">
        <f>[2]Мощность!M27</f>
        <v>2.7125566741666667</v>
      </c>
      <c r="AC38" s="105">
        <f>AB38*$F$22</f>
        <v>1335326.9290900044</v>
      </c>
      <c r="AD38" s="253">
        <f t="shared" si="2"/>
        <v>85.243919753575554</v>
      </c>
      <c r="AE38" s="82">
        <f>W38+Y38+AA38+AC38</f>
        <v>26799063.349039763</v>
      </c>
      <c r="AF38" s="83">
        <f>AE38+U38</f>
        <v>34195264.887646064</v>
      </c>
      <c r="AH38" s="74"/>
    </row>
    <row r="39" spans="1:36">
      <c r="A39" s="84" t="s">
        <v>111</v>
      </c>
      <c r="B39" s="107">
        <f t="shared" ref="B39:Q39" si="5">SUM(B36:B38)</f>
        <v>421.55489518464913</v>
      </c>
      <c r="C39" s="108">
        <f t="shared" si="5"/>
        <v>158083.08569424343</v>
      </c>
      <c r="D39" s="108">
        <f t="shared" si="5"/>
        <v>205.44954904699517</v>
      </c>
      <c r="E39" s="108">
        <f t="shared" si="5"/>
        <v>147975.03770109828</v>
      </c>
      <c r="F39" s="108">
        <f t="shared" si="5"/>
        <v>2562.5168841504792</v>
      </c>
      <c r="G39" s="108">
        <f t="shared" si="5"/>
        <v>2310211.471737023</v>
      </c>
      <c r="H39" s="108">
        <f t="shared" si="5"/>
        <v>3389.6013701938787</v>
      </c>
      <c r="I39" s="109">
        <f t="shared" si="5"/>
        <v>3581859.5599112753</v>
      </c>
      <c r="J39" s="107">
        <f t="shared" si="5"/>
        <v>85659.078545759345</v>
      </c>
      <c r="K39" s="108">
        <f t="shared" si="5"/>
        <v>4274388.0194333913</v>
      </c>
      <c r="L39" s="108">
        <f t="shared" si="5"/>
        <v>70290.152194953014</v>
      </c>
      <c r="M39" s="108">
        <f t="shared" si="5"/>
        <v>5338537.0592066813</v>
      </c>
      <c r="N39" s="108">
        <f t="shared" si="5"/>
        <v>5968.3111871367209</v>
      </c>
      <c r="O39" s="108">
        <f t="shared" si="5"/>
        <v>634849.26097573293</v>
      </c>
      <c r="P39" s="108">
        <f t="shared" si="5"/>
        <v>1145.2506816061209</v>
      </c>
      <c r="Q39" s="109">
        <f t="shared" si="5"/>
        <v>556694.90382191935</v>
      </c>
      <c r="R39" s="249">
        <f t="shared" si="1"/>
        <v>163062.79260945521</v>
      </c>
      <c r="S39" s="107">
        <f>SUM(S36:S38)</f>
        <v>12890.851259999999</v>
      </c>
      <c r="T39" s="109">
        <f>SUM(T36:T38)</f>
        <v>2690320.657962</v>
      </c>
      <c r="U39" s="110">
        <f>SUM(U36:U38)</f>
        <v>19692919.056443363</v>
      </c>
      <c r="V39" s="107">
        <f>SUM(V36:V38)/3</f>
        <v>40.83238980092473</v>
      </c>
      <c r="W39" s="108">
        <f>SUM(W36:W38)</f>
        <v>27741293.294450291</v>
      </c>
      <c r="X39" s="108">
        <f>SUM(X36:X38)/3</f>
        <v>31.955780854988053</v>
      </c>
      <c r="Y39" s="108">
        <f>SUM(Y36:Y38)</f>
        <v>36557863.555058584</v>
      </c>
      <c r="Z39" s="108">
        <f>SUM(Z36:Z38)/3</f>
        <v>3.8778891399693904</v>
      </c>
      <c r="AA39" s="108">
        <f>SUM(AA36:AA38)</f>
        <v>5814252.8971736524</v>
      </c>
      <c r="AB39" s="108">
        <f>SUM(AB36:AB38)/3</f>
        <v>2.0609110268727595</v>
      </c>
      <c r="AC39" s="109">
        <f>SUM(AC36:AC38)</f>
        <v>3043611.9755770755</v>
      </c>
      <c r="AD39" s="253">
        <f t="shared" si="2"/>
        <v>78.726970822754936</v>
      </c>
      <c r="AE39" s="110">
        <f>SUM(AE36:AE38)</f>
        <v>73157021.722259611</v>
      </c>
      <c r="AF39" s="111">
        <f>SUM(AF36:AF38)</f>
        <v>92849940.778702974</v>
      </c>
    </row>
    <row r="40" spans="1:36">
      <c r="A40" s="75" t="s">
        <v>20</v>
      </c>
      <c r="B40" s="101">
        <f>[2]Электроэнергия!O35</f>
        <v>439.57285604813399</v>
      </c>
      <c r="C40" s="102">
        <f>B40*$F$7</f>
        <v>164839.82101805025</v>
      </c>
      <c r="D40" s="103">
        <f>[2]Электроэнергия!O36</f>
        <v>318.5510667734128</v>
      </c>
      <c r="E40" s="104">
        <f>D40*$F$8</f>
        <v>229436.40584355057</v>
      </c>
      <c r="F40" s="103">
        <f>[2]Электроэнергия!O37</f>
        <v>1619.2477509025246</v>
      </c>
      <c r="G40" s="102">
        <f>F40*$F$9</f>
        <v>1459816.6173486619</v>
      </c>
      <c r="H40" s="103">
        <f>[2]Электроэнергия!O38</f>
        <v>1725.2798322927711</v>
      </c>
      <c r="I40" s="105">
        <f>H40*$F$10</f>
        <v>1823137.704380417</v>
      </c>
      <c r="J40" s="106">
        <f>[2]Электроэнергия!O24-[2]Передача!B40</f>
        <v>27407.269294943864</v>
      </c>
      <c r="K40" s="102">
        <f>J40*$F$14</f>
        <v>1367622.7378176989</v>
      </c>
      <c r="L40" s="102">
        <f>[2]Электроэнергия!O25-[2]Передача!D40</f>
        <v>26888.66832322659</v>
      </c>
      <c r="M40" s="104">
        <f>L40*$F$15</f>
        <v>2042194.3591490595</v>
      </c>
      <c r="N40" s="102">
        <f>[2]Электроэнергия!O26-[2]Передача!F40</f>
        <v>3811.1896579625545</v>
      </c>
      <c r="O40" s="102">
        <f>N40*$F$16</f>
        <v>405396.24391747697</v>
      </c>
      <c r="P40" s="102">
        <f>[2]Электроэнергия!O27-[2]Передача!H40</f>
        <v>640.3965729072288</v>
      </c>
      <c r="Q40" s="105">
        <f>P40*$F$11</f>
        <v>311290.37012447481</v>
      </c>
      <c r="R40" s="249">
        <f t="shared" si="1"/>
        <v>58747.523849040241</v>
      </c>
      <c r="S40" s="81">
        <f>[2]Электроэнергия!O29</f>
        <v>5147.3860199999999</v>
      </c>
      <c r="T40" s="79">
        <f>S40*$F$17</f>
        <v>1074259.4623739999</v>
      </c>
      <c r="U40" s="82">
        <f>C40+E40+G40+I40+K40+M40+O40+Q40+T40</f>
        <v>8877993.7219733894</v>
      </c>
      <c r="V40" s="101">
        <f>[2]Мощность!O24</f>
        <v>38.202520075118272</v>
      </c>
      <c r="W40" s="102">
        <f>V40*$F$19</f>
        <v>8651524.9222320411</v>
      </c>
      <c r="X40" s="103">
        <f>[2]Мощность!O25</f>
        <v>36.568843266129029</v>
      </c>
      <c r="Y40" s="104">
        <f>X40*$F$20</f>
        <v>13945090.650484411</v>
      </c>
      <c r="Z40" s="103">
        <f>[2]Мощность!O26</f>
        <v>7.29897501191543</v>
      </c>
      <c r="AA40" s="102">
        <f>Z40*$F$21</f>
        <v>3647868.3013410713</v>
      </c>
      <c r="AB40" s="103">
        <f>[2]Мощность!O27</f>
        <v>3.1796725876344079</v>
      </c>
      <c r="AC40" s="105">
        <f>AB40*$F$22</f>
        <v>1565276.9479044781</v>
      </c>
      <c r="AD40" s="253">
        <f t="shared" si="2"/>
        <v>85.250010940797154</v>
      </c>
      <c r="AE40" s="82">
        <f>W40+Y40+AA40+AC40</f>
        <v>27809760.821962003</v>
      </c>
      <c r="AF40" s="83">
        <f>AE40+U40</f>
        <v>36687754.543935388</v>
      </c>
      <c r="AH40" s="74"/>
    </row>
    <row r="41" spans="1:36">
      <c r="A41" s="75" t="s">
        <v>21</v>
      </c>
      <c r="B41" s="101">
        <f>[2]Электроэнергия!P35</f>
        <v>412.15979042734688</v>
      </c>
      <c r="C41" s="102">
        <f>B41*$F$7</f>
        <v>154559.92141025508</v>
      </c>
      <c r="D41" s="103">
        <f>[2]Электроэнергия!P36</f>
        <v>249.69612689666133</v>
      </c>
      <c r="E41" s="104">
        <f>D41*$F$8</f>
        <v>179843.63539732032</v>
      </c>
      <c r="F41" s="103">
        <f>[2]Электроэнергия!P37</f>
        <v>1826.6932842258911</v>
      </c>
      <c r="G41" s="102">
        <f>F41*$F$9</f>
        <v>1646837.0634610099</v>
      </c>
      <c r="H41" s="103">
        <f>[2]Электроэнергия!P38</f>
        <v>2123.2137383648455</v>
      </c>
      <c r="I41" s="105">
        <f>H41*$F$10</f>
        <v>2243642.4216048997</v>
      </c>
      <c r="J41" s="106">
        <f>[2]Электроэнергия!P24-[2]Передача!B41</f>
        <v>23731.670658116651</v>
      </c>
      <c r="K41" s="102">
        <f>J41*$F$14</f>
        <v>1184210.3658400208</v>
      </c>
      <c r="L41" s="102">
        <f>[2]Электроэнергия!P25-[2]Передача!D41</f>
        <v>11291.10388310334</v>
      </c>
      <c r="M41" s="104">
        <f>L41*$F$15</f>
        <v>857559.33992169867</v>
      </c>
      <c r="N41" s="102">
        <f>[2]Электроэнергия!P26-[2]Передача!F41</f>
        <v>3742.6869176116606</v>
      </c>
      <c r="O41" s="102">
        <f>N41*$F$16</f>
        <v>398109.60742635233</v>
      </c>
      <c r="P41" s="102">
        <f>[2]Электроэнергия!P27-[2]Передача!H41</f>
        <v>697.57039997515449</v>
      </c>
      <c r="Q41" s="105">
        <f>P41*$F$11</f>
        <v>339081.99572392285</v>
      </c>
      <c r="R41" s="249">
        <f t="shared" si="1"/>
        <v>39463.031858806804</v>
      </c>
      <c r="S41" s="81">
        <f>[2]Электроэнергия!P29</f>
        <v>5579.7535499999994</v>
      </c>
      <c r="T41" s="79">
        <f>S41*$F$17</f>
        <v>1164494.5658849999</v>
      </c>
      <c r="U41" s="82">
        <f>C41+E41+G41+I41+K41+M41+O41+Q41+T41</f>
        <v>8168338.9166704798</v>
      </c>
      <c r="V41" s="101">
        <f>[2]Мощность!P24</f>
        <v>34.332865602000005</v>
      </c>
      <c r="W41" s="102">
        <f>V41*$F$19</f>
        <v>7775184.5119978422</v>
      </c>
      <c r="X41" s="103">
        <f>[2]Мощность!P25</f>
        <v>16.02888890277778</v>
      </c>
      <c r="Y41" s="104">
        <f>X41*$F$20</f>
        <v>6112424.9172741408</v>
      </c>
      <c r="Z41" s="103">
        <f>[2]Мощность!P26</f>
        <v>7.7352502803299323</v>
      </c>
      <c r="AA41" s="102">
        <f>Z41*$F$21</f>
        <v>3865909.1522427774</v>
      </c>
      <c r="AB41" s="103">
        <f>[2]Мощность!P27</f>
        <v>3.9177557476944438</v>
      </c>
      <c r="AC41" s="105">
        <f>AB41*$F$22</f>
        <v>1928617.6769378348</v>
      </c>
      <c r="AD41" s="253">
        <f t="shared" si="2"/>
        <v>62.014760532802157</v>
      </c>
      <c r="AE41" s="82">
        <f>W41+Y41+AA41+AC41</f>
        <v>19682136.258452594</v>
      </c>
      <c r="AF41" s="83">
        <f>AE41+U41</f>
        <v>27850475.175123073</v>
      </c>
      <c r="AH41" s="74"/>
      <c r="AJ41" s="74"/>
    </row>
    <row r="42" spans="1:36">
      <c r="A42" s="75" t="s">
        <v>22</v>
      </c>
      <c r="B42" s="101">
        <f>[2]Электроэнергия!Q35</f>
        <v>391.43114146186491</v>
      </c>
      <c r="C42" s="102">
        <f>B42*$F$7</f>
        <v>146786.67804819933</v>
      </c>
      <c r="D42" s="103">
        <f>[2]Электроэнергия!Q36</f>
        <v>217.59079612574192</v>
      </c>
      <c r="E42" s="104">
        <f>D42*$F$8</f>
        <v>156719.77090956562</v>
      </c>
      <c r="F42" s="103">
        <f>[2]Электроэнергия!Q37</f>
        <v>2576.9862997156097</v>
      </c>
      <c r="G42" s="102">
        <f>F42*$F$9</f>
        <v>2323256.2286456106</v>
      </c>
      <c r="H42" s="103">
        <f>[2]Электроэнергия!Q38</f>
        <v>2451.3023104855292</v>
      </c>
      <c r="I42" s="105">
        <f>H42*$F$10</f>
        <v>2590340.1775362687</v>
      </c>
      <c r="J42" s="106">
        <f>[2]Электроэнергия!Q24-[2]Передача!B42</f>
        <v>21802.653207082134</v>
      </c>
      <c r="K42" s="102">
        <f>J42*$F$14</f>
        <v>1087952.3950333984</v>
      </c>
      <c r="L42" s="102">
        <f>[2]Электроэнергия!Q25-[2]Передача!D42</f>
        <v>6543.2017488742576</v>
      </c>
      <c r="M42" s="104">
        <f>L42*$F$15</f>
        <v>496956.17282699991</v>
      </c>
      <c r="N42" s="102">
        <f>[2]Электроэнергия!Q26-[2]Передача!F42</f>
        <v>4110.4991180918778</v>
      </c>
      <c r="O42" s="102">
        <f>N42*$F$16</f>
        <v>437233.79119143303</v>
      </c>
      <c r="P42" s="102">
        <f>[2]Электроэнергия!Q27-[2]Передача!H42</f>
        <v>654.26574315447078</v>
      </c>
      <c r="Q42" s="105">
        <f>P42*$F$11</f>
        <v>318032.03508995671</v>
      </c>
      <c r="R42" s="249">
        <f t="shared" si="1"/>
        <v>33110.619817202736</v>
      </c>
      <c r="S42" s="81">
        <f>[2]Электроэнергия!Q29</f>
        <v>8239.9802099999997</v>
      </c>
      <c r="T42" s="79">
        <f>S42*$F$17</f>
        <v>1719683.869827</v>
      </c>
      <c r="U42" s="82">
        <f>C42+E42+G42+I42+K42+M42+O42+Q42+T42</f>
        <v>9276961.1191084329</v>
      </c>
      <c r="V42" s="101">
        <f>[2]Мощность!Q24</f>
        <v>30.991711728344082</v>
      </c>
      <c r="W42" s="102">
        <f>V42*$F$19</f>
        <v>7018530.8684657449</v>
      </c>
      <c r="X42" s="103">
        <f>[2]Мощность!Q25</f>
        <v>9.0870867540322564</v>
      </c>
      <c r="Y42" s="104">
        <f>X42*$F$20</f>
        <v>3465251.7612217553</v>
      </c>
      <c r="Z42" s="103">
        <f>[2]Мощность!Q26</f>
        <v>8.9885556690960833</v>
      </c>
      <c r="AA42" s="102">
        <f>Z42*$F$21</f>
        <v>4492283.8133584093</v>
      </c>
      <c r="AB42" s="103">
        <f>[2]Мощность!Q27</f>
        <v>4.1741506097311829</v>
      </c>
      <c r="AC42" s="105">
        <f>AB42*$F$22</f>
        <v>2054834.7499371131</v>
      </c>
      <c r="AD42" s="253">
        <f t="shared" si="2"/>
        <v>53.241504761203615</v>
      </c>
      <c r="AE42" s="82">
        <f>W42+Y42+AA42+AC42</f>
        <v>17030901.19298302</v>
      </c>
      <c r="AF42" s="83">
        <f>AE42+U42</f>
        <v>26307862.312091455</v>
      </c>
      <c r="AH42" s="74"/>
      <c r="AJ42" s="74"/>
    </row>
    <row r="43" spans="1:36">
      <c r="A43" s="84" t="s">
        <v>112</v>
      </c>
      <c r="B43" s="112">
        <f>B36+B37+B38+B40+B41+B42</f>
        <v>1664.7186831219949</v>
      </c>
      <c r="C43" s="113">
        <f>SUM(C40:C42)</f>
        <v>466186.42047650466</v>
      </c>
      <c r="D43" s="114">
        <f t="shared" ref="D43:J43" si="6">D36+D37+D38+D40+D41+D42</f>
        <v>991.28753884281127</v>
      </c>
      <c r="E43" s="113">
        <f t="shared" si="6"/>
        <v>713974.84985153482</v>
      </c>
      <c r="F43" s="114">
        <f t="shared" si="6"/>
        <v>8585.4442189945039</v>
      </c>
      <c r="G43" s="113">
        <f t="shared" si="6"/>
        <v>7740121.3811923051</v>
      </c>
      <c r="H43" s="114">
        <f t="shared" si="6"/>
        <v>9689.3972513370245</v>
      </c>
      <c r="I43" s="115">
        <f t="shared" si="6"/>
        <v>10238979.863432862</v>
      </c>
      <c r="J43" s="112">
        <f t="shared" si="6"/>
        <v>158600.67170590197</v>
      </c>
      <c r="K43" s="113">
        <f t="shared" ref="K43:Q43" si="7">K36+K37+K38+K40+K41+K42</f>
        <v>7914173.5181245096</v>
      </c>
      <c r="L43" s="114">
        <f t="shared" si="7"/>
        <v>115013.1261501572</v>
      </c>
      <c r="M43" s="113">
        <f t="shared" si="7"/>
        <v>8735246.9311044402</v>
      </c>
      <c r="N43" s="114">
        <f t="shared" si="7"/>
        <v>17632.686880802812</v>
      </c>
      <c r="O43" s="113">
        <f t="shared" si="7"/>
        <v>1875588.9035109952</v>
      </c>
      <c r="P43" s="114">
        <f t="shared" si="7"/>
        <v>3137.483397642975</v>
      </c>
      <c r="Q43" s="115">
        <f t="shared" si="7"/>
        <v>1525099.3047602735</v>
      </c>
      <c r="R43" s="249">
        <f t="shared" si="1"/>
        <v>294383.96813450492</v>
      </c>
      <c r="S43" s="112">
        <f>S36+S37+S38+S40+S41+S42</f>
        <v>31857.971040000004</v>
      </c>
      <c r="T43" s="115">
        <f>T36+T37+T38+T40+T41+T42</f>
        <v>6648758.5560480002</v>
      </c>
      <c r="U43" s="116">
        <f>U36+U37+U38+U40+U41+U42</f>
        <v>46016212.814195663</v>
      </c>
      <c r="V43" s="94">
        <f>SUM(V40:V42)/3</f>
        <v>34.509032468487455</v>
      </c>
      <c r="W43" s="113">
        <f>SUM(W40:W42)</f>
        <v>23445240.302695628</v>
      </c>
      <c r="X43" s="95">
        <f>SUM(X40:X42)/3</f>
        <v>20.561606307646354</v>
      </c>
      <c r="Y43" s="113">
        <f>Y36+Y37+Y38+Y40+Y41+Y42</f>
        <v>60080630.884038895</v>
      </c>
      <c r="Z43" s="95">
        <f>SUM(Z40:Z42)/3</f>
        <v>8.0075936537804822</v>
      </c>
      <c r="AA43" s="113">
        <f>AA36+AA37+AA38+AA40+AA41+AA42</f>
        <v>17820314.164115913</v>
      </c>
      <c r="AB43" s="95">
        <f>SUM(AB40:AB42)/3</f>
        <v>3.7571929816866785</v>
      </c>
      <c r="AC43" s="115">
        <f>AC36+AC37+AC38+AC40+AC41+AC42</f>
        <v>8592341.3503565025</v>
      </c>
      <c r="AD43" s="253">
        <f t="shared" si="2"/>
        <v>66.835425411600966</v>
      </c>
      <c r="AE43" s="116">
        <f>AE36+AE37+AE38+AE40+AE41+AE42</f>
        <v>137679819.99565724</v>
      </c>
      <c r="AF43" s="117">
        <f>AF36+AF37+AF38+AF40+AF41+AF42</f>
        <v>183696032.8098529</v>
      </c>
      <c r="AJ43" s="74"/>
    </row>
    <row r="44" spans="1:36" ht="13.5" thickBot="1">
      <c r="A44" s="118" t="s">
        <v>113</v>
      </c>
      <c r="B44" s="119">
        <f t="shared" ref="B44:T44" si="8">B35+B43</f>
        <v>3103.759609119682</v>
      </c>
      <c r="C44" s="120">
        <f t="shared" si="8"/>
        <v>972412.23742397106</v>
      </c>
      <c r="D44" s="121">
        <f t="shared" si="8"/>
        <v>1530.0980657982861</v>
      </c>
      <c r="E44" s="120">
        <f t="shared" si="8"/>
        <v>1078027.5704942709</v>
      </c>
      <c r="F44" s="121">
        <f t="shared" si="8"/>
        <v>17927.040828660563</v>
      </c>
      <c r="G44" s="120">
        <f t="shared" si="8"/>
        <v>15640496.465919085</v>
      </c>
      <c r="H44" s="121">
        <f t="shared" si="8"/>
        <v>21927.246127215974</v>
      </c>
      <c r="I44" s="122">
        <f t="shared" si="8"/>
        <v>22370237.075602904</v>
      </c>
      <c r="J44" s="119">
        <f>J35+J43</f>
        <v>298935.59751357813</v>
      </c>
      <c r="K44" s="120">
        <f>K35+K43</f>
        <v>14483251.395181831</v>
      </c>
      <c r="L44" s="121">
        <f t="shared" si="8"/>
        <v>184501.83999321979</v>
      </c>
      <c r="M44" s="120">
        <f t="shared" si="8"/>
        <v>13686317.792422649</v>
      </c>
      <c r="N44" s="121">
        <f t="shared" si="8"/>
        <v>37297.422280450992</v>
      </c>
      <c r="O44" s="120">
        <f t="shared" si="8"/>
        <v>3837736.2016878906</v>
      </c>
      <c r="P44" s="121">
        <f t="shared" si="8"/>
        <v>7220.5219107210978</v>
      </c>
      <c r="Q44" s="122">
        <f t="shared" si="8"/>
        <v>3386924.036338767</v>
      </c>
      <c r="R44" s="250"/>
      <c r="S44" s="123">
        <f t="shared" si="8"/>
        <v>69254.893983999995</v>
      </c>
      <c r="T44" s="122">
        <f t="shared" si="8"/>
        <v>13970328.130024321</v>
      </c>
      <c r="U44" s="124">
        <f>U35+U43</f>
        <v>89583813.99078992</v>
      </c>
      <c r="V44" s="119">
        <f>(V31+V35+V39+V43)/4</f>
        <v>35.82803639460267</v>
      </c>
      <c r="W44" s="120">
        <f t="shared" ref="W44:AF44" si="9">W35+W43</f>
        <v>66765055.374581292</v>
      </c>
      <c r="X44" s="121">
        <f>(X31+X35+X39+X43)/4</f>
        <v>21.135425727414443</v>
      </c>
      <c r="Y44" s="120">
        <f t="shared" si="9"/>
        <v>94448612.233233482</v>
      </c>
      <c r="Z44" s="121">
        <f>(Z31+Z35+Z39+Z43)/4</f>
        <v>6.2935373102481806</v>
      </c>
      <c r="AA44" s="120">
        <f t="shared" si="9"/>
        <v>36510891.95879519</v>
      </c>
      <c r="AB44" s="121">
        <f>(AB31+AB35+AB39+AB43)/4</f>
        <v>3.3254541638780126</v>
      </c>
      <c r="AC44" s="122">
        <f t="shared" si="9"/>
        <v>18960220.723599799</v>
      </c>
      <c r="AD44" s="253">
        <f t="shared" si="2"/>
        <v>66.58245359614331</v>
      </c>
      <c r="AE44" s="125">
        <f t="shared" si="9"/>
        <v>244426073.58466005</v>
      </c>
      <c r="AF44" s="126">
        <f t="shared" si="9"/>
        <v>334009887.57544994</v>
      </c>
      <c r="AH44" s="74"/>
    </row>
    <row r="45" spans="1:36">
      <c r="V45" s="57"/>
    </row>
    <row r="46" spans="1:36">
      <c r="P46" s="57"/>
      <c r="S46" s="57"/>
    </row>
    <row r="47" spans="1:36">
      <c r="B47" s="57"/>
      <c r="Q47" s="57"/>
      <c r="R47" s="57"/>
      <c r="X47" s="57"/>
      <c r="Z47" s="58"/>
      <c r="AB47" s="57"/>
    </row>
    <row r="48" spans="1:36">
      <c r="Q48" s="57"/>
      <c r="R48" s="57"/>
      <c r="X48" s="57"/>
      <c r="Z48" s="58"/>
      <c r="AB48" s="57"/>
      <c r="AH48" s="74"/>
    </row>
    <row r="49" spans="17:26">
      <c r="Q49" s="57"/>
      <c r="R49" s="57"/>
      <c r="X49" s="57"/>
      <c r="Z49" s="58"/>
    </row>
    <row r="50" spans="17:26">
      <c r="Q50" s="57"/>
      <c r="R50" s="57"/>
      <c r="Z50" s="58"/>
    </row>
    <row r="51" spans="17:26">
      <c r="Q51" s="57"/>
      <c r="R51" s="57"/>
    </row>
    <row r="52" spans="17:26">
      <c r="Q52" s="57"/>
      <c r="R52" s="57"/>
    </row>
    <row r="53" spans="17:26">
      <c r="Q53" s="57"/>
      <c r="R53" s="57"/>
    </row>
    <row r="54" spans="17:26">
      <c r="Q54" s="57"/>
      <c r="R54" s="57"/>
    </row>
    <row r="55" spans="17:26">
      <c r="Q55" s="57"/>
      <c r="R55" s="57"/>
    </row>
    <row r="56" spans="17:26">
      <c r="Q56" s="57"/>
      <c r="R56" s="57"/>
    </row>
    <row r="57" spans="17:26">
      <c r="Q57" s="57"/>
      <c r="R57" s="57"/>
    </row>
    <row r="58" spans="17:26">
      <c r="Q58" s="57"/>
      <c r="R58" s="57"/>
    </row>
    <row r="59" spans="17:26">
      <c r="Q59" s="57"/>
      <c r="R59" s="57"/>
    </row>
    <row r="60" spans="17:26">
      <c r="Q60" s="57"/>
      <c r="R60" s="57"/>
    </row>
    <row r="61" spans="17:26">
      <c r="Q61" s="57"/>
      <c r="R61" s="57"/>
    </row>
    <row r="62" spans="17:26">
      <c r="Q62" s="57"/>
      <c r="R62" s="57"/>
    </row>
    <row r="63" spans="17:26">
      <c r="Q63" s="57"/>
      <c r="R63" s="57"/>
    </row>
  </sheetData>
  <mergeCells count="57">
    <mergeCell ref="A17:B17"/>
    <mergeCell ref="A1:U1"/>
    <mergeCell ref="A2:N2"/>
    <mergeCell ref="A5:B5"/>
    <mergeCell ref="A6:B6"/>
    <mergeCell ref="A7:B7"/>
    <mergeCell ref="E7:E2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E24:AE27"/>
    <mergeCell ref="AF24:AF27"/>
    <mergeCell ref="M25:M27"/>
    <mergeCell ref="N25:N27"/>
    <mergeCell ref="O25:O27"/>
    <mergeCell ref="P25:P27"/>
    <mergeCell ref="S25:S27"/>
    <mergeCell ref="T25:T27"/>
    <mergeCell ref="V25:V27"/>
    <mergeCell ref="AD25:AD27"/>
    <mergeCell ref="Y25:Y27"/>
    <mergeCell ref="Z25:Z27"/>
    <mergeCell ref="AA25:AA27"/>
    <mergeCell ref="AB25:AB27"/>
    <mergeCell ref="AC25:AC27"/>
    <mergeCell ref="F25:F27"/>
    <mergeCell ref="J24:Q24"/>
    <mergeCell ref="S24:T24"/>
    <mergeCell ref="U24:U27"/>
    <mergeCell ref="V24:AC24"/>
    <mergeCell ref="B24:I24"/>
    <mergeCell ref="W25:W27"/>
    <mergeCell ref="X25:X27"/>
    <mergeCell ref="G25:G27"/>
    <mergeCell ref="H25:H27"/>
    <mergeCell ref="I25:I27"/>
    <mergeCell ref="J25:J27"/>
    <mergeCell ref="K25:K27"/>
    <mergeCell ref="L25:L27"/>
    <mergeCell ref="R25:R27"/>
    <mergeCell ref="Q25:Q27"/>
    <mergeCell ref="A25:A27"/>
    <mergeCell ref="B25:B27"/>
    <mergeCell ref="C25:C27"/>
    <mergeCell ref="D25:D27"/>
    <mergeCell ref="E25:E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4"/>
  <sheetViews>
    <sheetView topLeftCell="A4" workbookViewId="0">
      <selection sqref="A1:XFD1048576"/>
    </sheetView>
  </sheetViews>
  <sheetFormatPr defaultRowHeight="15"/>
  <cols>
    <col min="1" max="1" width="19.7109375" style="127" customWidth="1"/>
    <col min="2" max="2" width="14" style="127" customWidth="1"/>
    <col min="3" max="5" width="10.5703125" style="127" customWidth="1"/>
    <col min="6" max="6" width="12.85546875" style="127" customWidth="1"/>
    <col min="7" max="16" width="10.5703125" style="127" customWidth="1"/>
    <col min="17" max="18" width="19.7109375" style="127" hidden="1" customWidth="1"/>
    <col min="19" max="19" width="15.28515625" style="127" customWidth="1"/>
    <col min="20" max="21" width="10" style="127" hidden="1" customWidth="1"/>
    <col min="22" max="22" width="11.85546875" style="127" customWidth="1"/>
    <col min="23" max="23" width="13.7109375" style="127" customWidth="1"/>
    <col min="24" max="254" width="9.140625" style="127"/>
    <col min="255" max="255" width="18.140625" style="127" customWidth="1"/>
    <col min="256" max="256" width="14" style="127" customWidth="1"/>
    <col min="257" max="269" width="10.5703125" style="127" customWidth="1"/>
    <col min="270" max="271" width="19.7109375" style="127" customWidth="1"/>
    <col min="272" max="272" width="15.28515625" style="127" customWidth="1"/>
    <col min="273" max="274" width="0" style="127" hidden="1" customWidth="1"/>
    <col min="275" max="510" width="9.140625" style="127"/>
    <col min="511" max="511" width="18.140625" style="127" customWidth="1"/>
    <col min="512" max="512" width="14" style="127" customWidth="1"/>
    <col min="513" max="525" width="10.5703125" style="127" customWidth="1"/>
    <col min="526" max="527" width="19.7109375" style="127" customWidth="1"/>
    <col min="528" max="528" width="15.28515625" style="127" customWidth="1"/>
    <col min="529" max="530" width="0" style="127" hidden="1" customWidth="1"/>
    <col min="531" max="766" width="9.140625" style="127"/>
    <col min="767" max="767" width="18.140625" style="127" customWidth="1"/>
    <col min="768" max="768" width="14" style="127" customWidth="1"/>
    <col min="769" max="781" width="10.5703125" style="127" customWidth="1"/>
    <col min="782" max="783" width="19.7109375" style="127" customWidth="1"/>
    <col min="784" max="784" width="15.28515625" style="127" customWidth="1"/>
    <col min="785" max="786" width="0" style="127" hidden="1" customWidth="1"/>
    <col min="787" max="1022" width="9.140625" style="127"/>
    <col min="1023" max="1023" width="18.140625" style="127" customWidth="1"/>
    <col min="1024" max="1024" width="14" style="127" customWidth="1"/>
    <col min="1025" max="1037" width="10.5703125" style="127" customWidth="1"/>
    <col min="1038" max="1039" width="19.7109375" style="127" customWidth="1"/>
    <col min="1040" max="1040" width="15.28515625" style="127" customWidth="1"/>
    <col min="1041" max="1042" width="0" style="127" hidden="1" customWidth="1"/>
    <col min="1043" max="1278" width="9.140625" style="127"/>
    <col min="1279" max="1279" width="18.140625" style="127" customWidth="1"/>
    <col min="1280" max="1280" width="14" style="127" customWidth="1"/>
    <col min="1281" max="1293" width="10.5703125" style="127" customWidth="1"/>
    <col min="1294" max="1295" width="19.7109375" style="127" customWidth="1"/>
    <col min="1296" max="1296" width="15.28515625" style="127" customWidth="1"/>
    <col min="1297" max="1298" width="0" style="127" hidden="1" customWidth="1"/>
    <col min="1299" max="1534" width="9.140625" style="127"/>
    <col min="1535" max="1535" width="18.140625" style="127" customWidth="1"/>
    <col min="1536" max="1536" width="14" style="127" customWidth="1"/>
    <col min="1537" max="1549" width="10.5703125" style="127" customWidth="1"/>
    <col min="1550" max="1551" width="19.7109375" style="127" customWidth="1"/>
    <col min="1552" max="1552" width="15.28515625" style="127" customWidth="1"/>
    <col min="1553" max="1554" width="0" style="127" hidden="1" customWidth="1"/>
    <col min="1555" max="1790" width="9.140625" style="127"/>
    <col min="1791" max="1791" width="18.140625" style="127" customWidth="1"/>
    <col min="1792" max="1792" width="14" style="127" customWidth="1"/>
    <col min="1793" max="1805" width="10.5703125" style="127" customWidth="1"/>
    <col min="1806" max="1807" width="19.7109375" style="127" customWidth="1"/>
    <col min="1808" max="1808" width="15.28515625" style="127" customWidth="1"/>
    <col min="1809" max="1810" width="0" style="127" hidden="1" customWidth="1"/>
    <col min="1811" max="2046" width="9.140625" style="127"/>
    <col min="2047" max="2047" width="18.140625" style="127" customWidth="1"/>
    <col min="2048" max="2048" width="14" style="127" customWidth="1"/>
    <col min="2049" max="2061" width="10.5703125" style="127" customWidth="1"/>
    <col min="2062" max="2063" width="19.7109375" style="127" customWidth="1"/>
    <col min="2064" max="2064" width="15.28515625" style="127" customWidth="1"/>
    <col min="2065" max="2066" width="0" style="127" hidden="1" customWidth="1"/>
    <col min="2067" max="2302" width="9.140625" style="127"/>
    <col min="2303" max="2303" width="18.140625" style="127" customWidth="1"/>
    <col min="2304" max="2304" width="14" style="127" customWidth="1"/>
    <col min="2305" max="2317" width="10.5703125" style="127" customWidth="1"/>
    <col min="2318" max="2319" width="19.7109375" style="127" customWidth="1"/>
    <col min="2320" max="2320" width="15.28515625" style="127" customWidth="1"/>
    <col min="2321" max="2322" width="0" style="127" hidden="1" customWidth="1"/>
    <col min="2323" max="2558" width="9.140625" style="127"/>
    <col min="2559" max="2559" width="18.140625" style="127" customWidth="1"/>
    <col min="2560" max="2560" width="14" style="127" customWidth="1"/>
    <col min="2561" max="2573" width="10.5703125" style="127" customWidth="1"/>
    <col min="2574" max="2575" width="19.7109375" style="127" customWidth="1"/>
    <col min="2576" max="2576" width="15.28515625" style="127" customWidth="1"/>
    <col min="2577" max="2578" width="0" style="127" hidden="1" customWidth="1"/>
    <col min="2579" max="2814" width="9.140625" style="127"/>
    <col min="2815" max="2815" width="18.140625" style="127" customWidth="1"/>
    <col min="2816" max="2816" width="14" style="127" customWidth="1"/>
    <col min="2817" max="2829" width="10.5703125" style="127" customWidth="1"/>
    <col min="2830" max="2831" width="19.7109375" style="127" customWidth="1"/>
    <col min="2832" max="2832" width="15.28515625" style="127" customWidth="1"/>
    <col min="2833" max="2834" width="0" style="127" hidden="1" customWidth="1"/>
    <col min="2835" max="3070" width="9.140625" style="127"/>
    <col min="3071" max="3071" width="18.140625" style="127" customWidth="1"/>
    <col min="3072" max="3072" width="14" style="127" customWidth="1"/>
    <col min="3073" max="3085" width="10.5703125" style="127" customWidth="1"/>
    <col min="3086" max="3087" width="19.7109375" style="127" customWidth="1"/>
    <col min="3088" max="3088" width="15.28515625" style="127" customWidth="1"/>
    <col min="3089" max="3090" width="0" style="127" hidden="1" customWidth="1"/>
    <col min="3091" max="3326" width="9.140625" style="127"/>
    <col min="3327" max="3327" width="18.140625" style="127" customWidth="1"/>
    <col min="3328" max="3328" width="14" style="127" customWidth="1"/>
    <col min="3329" max="3341" width="10.5703125" style="127" customWidth="1"/>
    <col min="3342" max="3343" width="19.7109375" style="127" customWidth="1"/>
    <col min="3344" max="3344" width="15.28515625" style="127" customWidth="1"/>
    <col min="3345" max="3346" width="0" style="127" hidden="1" customWidth="1"/>
    <col min="3347" max="3582" width="9.140625" style="127"/>
    <col min="3583" max="3583" width="18.140625" style="127" customWidth="1"/>
    <col min="3584" max="3584" width="14" style="127" customWidth="1"/>
    <col min="3585" max="3597" width="10.5703125" style="127" customWidth="1"/>
    <col min="3598" max="3599" width="19.7109375" style="127" customWidth="1"/>
    <col min="3600" max="3600" width="15.28515625" style="127" customWidth="1"/>
    <col min="3601" max="3602" width="0" style="127" hidden="1" customWidth="1"/>
    <col min="3603" max="3838" width="9.140625" style="127"/>
    <col min="3839" max="3839" width="18.140625" style="127" customWidth="1"/>
    <col min="3840" max="3840" width="14" style="127" customWidth="1"/>
    <col min="3841" max="3853" width="10.5703125" style="127" customWidth="1"/>
    <col min="3854" max="3855" width="19.7109375" style="127" customWidth="1"/>
    <col min="3856" max="3856" width="15.28515625" style="127" customWidth="1"/>
    <col min="3857" max="3858" width="0" style="127" hidden="1" customWidth="1"/>
    <col min="3859" max="4094" width="9.140625" style="127"/>
    <col min="4095" max="4095" width="18.140625" style="127" customWidth="1"/>
    <col min="4096" max="4096" width="14" style="127" customWidth="1"/>
    <col min="4097" max="4109" width="10.5703125" style="127" customWidth="1"/>
    <col min="4110" max="4111" width="19.7109375" style="127" customWidth="1"/>
    <col min="4112" max="4112" width="15.28515625" style="127" customWidth="1"/>
    <col min="4113" max="4114" width="0" style="127" hidden="1" customWidth="1"/>
    <col min="4115" max="4350" width="9.140625" style="127"/>
    <col min="4351" max="4351" width="18.140625" style="127" customWidth="1"/>
    <col min="4352" max="4352" width="14" style="127" customWidth="1"/>
    <col min="4353" max="4365" width="10.5703125" style="127" customWidth="1"/>
    <col min="4366" max="4367" width="19.7109375" style="127" customWidth="1"/>
    <col min="4368" max="4368" width="15.28515625" style="127" customWidth="1"/>
    <col min="4369" max="4370" width="0" style="127" hidden="1" customWidth="1"/>
    <col min="4371" max="4606" width="9.140625" style="127"/>
    <col min="4607" max="4607" width="18.140625" style="127" customWidth="1"/>
    <col min="4608" max="4608" width="14" style="127" customWidth="1"/>
    <col min="4609" max="4621" width="10.5703125" style="127" customWidth="1"/>
    <col min="4622" max="4623" width="19.7109375" style="127" customWidth="1"/>
    <col min="4624" max="4624" width="15.28515625" style="127" customWidth="1"/>
    <col min="4625" max="4626" width="0" style="127" hidden="1" customWidth="1"/>
    <col min="4627" max="4862" width="9.140625" style="127"/>
    <col min="4863" max="4863" width="18.140625" style="127" customWidth="1"/>
    <col min="4864" max="4864" width="14" style="127" customWidth="1"/>
    <col min="4865" max="4877" width="10.5703125" style="127" customWidth="1"/>
    <col min="4878" max="4879" width="19.7109375" style="127" customWidth="1"/>
    <col min="4880" max="4880" width="15.28515625" style="127" customWidth="1"/>
    <col min="4881" max="4882" width="0" style="127" hidden="1" customWidth="1"/>
    <col min="4883" max="5118" width="9.140625" style="127"/>
    <col min="5119" max="5119" width="18.140625" style="127" customWidth="1"/>
    <col min="5120" max="5120" width="14" style="127" customWidth="1"/>
    <col min="5121" max="5133" width="10.5703125" style="127" customWidth="1"/>
    <col min="5134" max="5135" width="19.7109375" style="127" customWidth="1"/>
    <col min="5136" max="5136" width="15.28515625" style="127" customWidth="1"/>
    <col min="5137" max="5138" width="0" style="127" hidden="1" customWidth="1"/>
    <col min="5139" max="5374" width="9.140625" style="127"/>
    <col min="5375" max="5375" width="18.140625" style="127" customWidth="1"/>
    <col min="5376" max="5376" width="14" style="127" customWidth="1"/>
    <col min="5377" max="5389" width="10.5703125" style="127" customWidth="1"/>
    <col min="5390" max="5391" width="19.7109375" style="127" customWidth="1"/>
    <col min="5392" max="5392" width="15.28515625" style="127" customWidth="1"/>
    <col min="5393" max="5394" width="0" style="127" hidden="1" customWidth="1"/>
    <col min="5395" max="5630" width="9.140625" style="127"/>
    <col min="5631" max="5631" width="18.140625" style="127" customWidth="1"/>
    <col min="5632" max="5632" width="14" style="127" customWidth="1"/>
    <col min="5633" max="5645" width="10.5703125" style="127" customWidth="1"/>
    <col min="5646" max="5647" width="19.7109375" style="127" customWidth="1"/>
    <col min="5648" max="5648" width="15.28515625" style="127" customWidth="1"/>
    <col min="5649" max="5650" width="0" style="127" hidden="1" customWidth="1"/>
    <col min="5651" max="5886" width="9.140625" style="127"/>
    <col min="5887" max="5887" width="18.140625" style="127" customWidth="1"/>
    <col min="5888" max="5888" width="14" style="127" customWidth="1"/>
    <col min="5889" max="5901" width="10.5703125" style="127" customWidth="1"/>
    <col min="5902" max="5903" width="19.7109375" style="127" customWidth="1"/>
    <col min="5904" max="5904" width="15.28515625" style="127" customWidth="1"/>
    <col min="5905" max="5906" width="0" style="127" hidden="1" customWidth="1"/>
    <col min="5907" max="6142" width="9.140625" style="127"/>
    <col min="6143" max="6143" width="18.140625" style="127" customWidth="1"/>
    <col min="6144" max="6144" width="14" style="127" customWidth="1"/>
    <col min="6145" max="6157" width="10.5703125" style="127" customWidth="1"/>
    <col min="6158" max="6159" width="19.7109375" style="127" customWidth="1"/>
    <col min="6160" max="6160" width="15.28515625" style="127" customWidth="1"/>
    <col min="6161" max="6162" width="0" style="127" hidden="1" customWidth="1"/>
    <col min="6163" max="6398" width="9.140625" style="127"/>
    <col min="6399" max="6399" width="18.140625" style="127" customWidth="1"/>
    <col min="6400" max="6400" width="14" style="127" customWidth="1"/>
    <col min="6401" max="6413" width="10.5703125" style="127" customWidth="1"/>
    <col min="6414" max="6415" width="19.7109375" style="127" customWidth="1"/>
    <col min="6416" max="6416" width="15.28515625" style="127" customWidth="1"/>
    <col min="6417" max="6418" width="0" style="127" hidden="1" customWidth="1"/>
    <col min="6419" max="6654" width="9.140625" style="127"/>
    <col min="6655" max="6655" width="18.140625" style="127" customWidth="1"/>
    <col min="6656" max="6656" width="14" style="127" customWidth="1"/>
    <col min="6657" max="6669" width="10.5703125" style="127" customWidth="1"/>
    <col min="6670" max="6671" width="19.7109375" style="127" customWidth="1"/>
    <col min="6672" max="6672" width="15.28515625" style="127" customWidth="1"/>
    <col min="6673" max="6674" width="0" style="127" hidden="1" customWidth="1"/>
    <col min="6675" max="6910" width="9.140625" style="127"/>
    <col min="6911" max="6911" width="18.140625" style="127" customWidth="1"/>
    <col min="6912" max="6912" width="14" style="127" customWidth="1"/>
    <col min="6913" max="6925" width="10.5703125" style="127" customWidth="1"/>
    <col min="6926" max="6927" width="19.7109375" style="127" customWidth="1"/>
    <col min="6928" max="6928" width="15.28515625" style="127" customWidth="1"/>
    <col min="6929" max="6930" width="0" style="127" hidden="1" customWidth="1"/>
    <col min="6931" max="7166" width="9.140625" style="127"/>
    <col min="7167" max="7167" width="18.140625" style="127" customWidth="1"/>
    <col min="7168" max="7168" width="14" style="127" customWidth="1"/>
    <col min="7169" max="7181" width="10.5703125" style="127" customWidth="1"/>
    <col min="7182" max="7183" width="19.7109375" style="127" customWidth="1"/>
    <col min="7184" max="7184" width="15.28515625" style="127" customWidth="1"/>
    <col min="7185" max="7186" width="0" style="127" hidden="1" customWidth="1"/>
    <col min="7187" max="7422" width="9.140625" style="127"/>
    <col min="7423" max="7423" width="18.140625" style="127" customWidth="1"/>
    <col min="7424" max="7424" width="14" style="127" customWidth="1"/>
    <col min="7425" max="7437" width="10.5703125" style="127" customWidth="1"/>
    <col min="7438" max="7439" width="19.7109375" style="127" customWidth="1"/>
    <col min="7440" max="7440" width="15.28515625" style="127" customWidth="1"/>
    <col min="7441" max="7442" width="0" style="127" hidden="1" customWidth="1"/>
    <col min="7443" max="7678" width="9.140625" style="127"/>
    <col min="7679" max="7679" width="18.140625" style="127" customWidth="1"/>
    <col min="7680" max="7680" width="14" style="127" customWidth="1"/>
    <col min="7681" max="7693" width="10.5703125" style="127" customWidth="1"/>
    <col min="7694" max="7695" width="19.7109375" style="127" customWidth="1"/>
    <col min="7696" max="7696" width="15.28515625" style="127" customWidth="1"/>
    <col min="7697" max="7698" width="0" style="127" hidden="1" customWidth="1"/>
    <col min="7699" max="7934" width="9.140625" style="127"/>
    <col min="7935" max="7935" width="18.140625" style="127" customWidth="1"/>
    <col min="7936" max="7936" width="14" style="127" customWidth="1"/>
    <col min="7937" max="7949" width="10.5703125" style="127" customWidth="1"/>
    <col min="7950" max="7951" width="19.7109375" style="127" customWidth="1"/>
    <col min="7952" max="7952" width="15.28515625" style="127" customWidth="1"/>
    <col min="7953" max="7954" width="0" style="127" hidden="1" customWidth="1"/>
    <col min="7955" max="8190" width="9.140625" style="127"/>
    <col min="8191" max="8191" width="18.140625" style="127" customWidth="1"/>
    <col min="8192" max="8192" width="14" style="127" customWidth="1"/>
    <col min="8193" max="8205" width="10.5703125" style="127" customWidth="1"/>
    <col min="8206" max="8207" width="19.7109375" style="127" customWidth="1"/>
    <col min="8208" max="8208" width="15.28515625" style="127" customWidth="1"/>
    <col min="8209" max="8210" width="0" style="127" hidden="1" customWidth="1"/>
    <col min="8211" max="8446" width="9.140625" style="127"/>
    <col min="8447" max="8447" width="18.140625" style="127" customWidth="1"/>
    <col min="8448" max="8448" width="14" style="127" customWidth="1"/>
    <col min="8449" max="8461" width="10.5703125" style="127" customWidth="1"/>
    <col min="8462" max="8463" width="19.7109375" style="127" customWidth="1"/>
    <col min="8464" max="8464" width="15.28515625" style="127" customWidth="1"/>
    <col min="8465" max="8466" width="0" style="127" hidden="1" customWidth="1"/>
    <col min="8467" max="8702" width="9.140625" style="127"/>
    <col min="8703" max="8703" width="18.140625" style="127" customWidth="1"/>
    <col min="8704" max="8704" width="14" style="127" customWidth="1"/>
    <col min="8705" max="8717" width="10.5703125" style="127" customWidth="1"/>
    <col min="8718" max="8719" width="19.7109375" style="127" customWidth="1"/>
    <col min="8720" max="8720" width="15.28515625" style="127" customWidth="1"/>
    <col min="8721" max="8722" width="0" style="127" hidden="1" customWidth="1"/>
    <col min="8723" max="8958" width="9.140625" style="127"/>
    <col min="8959" max="8959" width="18.140625" style="127" customWidth="1"/>
    <col min="8960" max="8960" width="14" style="127" customWidth="1"/>
    <col min="8961" max="8973" width="10.5703125" style="127" customWidth="1"/>
    <col min="8974" max="8975" width="19.7109375" style="127" customWidth="1"/>
    <col min="8976" max="8976" width="15.28515625" style="127" customWidth="1"/>
    <col min="8977" max="8978" width="0" style="127" hidden="1" customWidth="1"/>
    <col min="8979" max="9214" width="9.140625" style="127"/>
    <col min="9215" max="9215" width="18.140625" style="127" customWidth="1"/>
    <col min="9216" max="9216" width="14" style="127" customWidth="1"/>
    <col min="9217" max="9229" width="10.5703125" style="127" customWidth="1"/>
    <col min="9230" max="9231" width="19.7109375" style="127" customWidth="1"/>
    <col min="9232" max="9232" width="15.28515625" style="127" customWidth="1"/>
    <col min="9233" max="9234" width="0" style="127" hidden="1" customWidth="1"/>
    <col min="9235" max="9470" width="9.140625" style="127"/>
    <col min="9471" max="9471" width="18.140625" style="127" customWidth="1"/>
    <col min="9472" max="9472" width="14" style="127" customWidth="1"/>
    <col min="9473" max="9485" width="10.5703125" style="127" customWidth="1"/>
    <col min="9486" max="9487" width="19.7109375" style="127" customWidth="1"/>
    <col min="9488" max="9488" width="15.28515625" style="127" customWidth="1"/>
    <col min="9489" max="9490" width="0" style="127" hidden="1" customWidth="1"/>
    <col min="9491" max="9726" width="9.140625" style="127"/>
    <col min="9727" max="9727" width="18.140625" style="127" customWidth="1"/>
    <col min="9728" max="9728" width="14" style="127" customWidth="1"/>
    <col min="9729" max="9741" width="10.5703125" style="127" customWidth="1"/>
    <col min="9742" max="9743" width="19.7109375" style="127" customWidth="1"/>
    <col min="9744" max="9744" width="15.28515625" style="127" customWidth="1"/>
    <col min="9745" max="9746" width="0" style="127" hidden="1" customWidth="1"/>
    <col min="9747" max="9982" width="9.140625" style="127"/>
    <col min="9983" max="9983" width="18.140625" style="127" customWidth="1"/>
    <col min="9984" max="9984" width="14" style="127" customWidth="1"/>
    <col min="9985" max="9997" width="10.5703125" style="127" customWidth="1"/>
    <col min="9998" max="9999" width="19.7109375" style="127" customWidth="1"/>
    <col min="10000" max="10000" width="15.28515625" style="127" customWidth="1"/>
    <col min="10001" max="10002" width="0" style="127" hidden="1" customWidth="1"/>
    <col min="10003" max="10238" width="9.140625" style="127"/>
    <col min="10239" max="10239" width="18.140625" style="127" customWidth="1"/>
    <col min="10240" max="10240" width="14" style="127" customWidth="1"/>
    <col min="10241" max="10253" width="10.5703125" style="127" customWidth="1"/>
    <col min="10254" max="10255" width="19.7109375" style="127" customWidth="1"/>
    <col min="10256" max="10256" width="15.28515625" style="127" customWidth="1"/>
    <col min="10257" max="10258" width="0" style="127" hidden="1" customWidth="1"/>
    <col min="10259" max="10494" width="9.140625" style="127"/>
    <col min="10495" max="10495" width="18.140625" style="127" customWidth="1"/>
    <col min="10496" max="10496" width="14" style="127" customWidth="1"/>
    <col min="10497" max="10509" width="10.5703125" style="127" customWidth="1"/>
    <col min="10510" max="10511" width="19.7109375" style="127" customWidth="1"/>
    <col min="10512" max="10512" width="15.28515625" style="127" customWidth="1"/>
    <col min="10513" max="10514" width="0" style="127" hidden="1" customWidth="1"/>
    <col min="10515" max="10750" width="9.140625" style="127"/>
    <col min="10751" max="10751" width="18.140625" style="127" customWidth="1"/>
    <col min="10752" max="10752" width="14" style="127" customWidth="1"/>
    <col min="10753" max="10765" width="10.5703125" style="127" customWidth="1"/>
    <col min="10766" max="10767" width="19.7109375" style="127" customWidth="1"/>
    <col min="10768" max="10768" width="15.28515625" style="127" customWidth="1"/>
    <col min="10769" max="10770" width="0" style="127" hidden="1" customWidth="1"/>
    <col min="10771" max="11006" width="9.140625" style="127"/>
    <col min="11007" max="11007" width="18.140625" style="127" customWidth="1"/>
    <col min="11008" max="11008" width="14" style="127" customWidth="1"/>
    <col min="11009" max="11021" width="10.5703125" style="127" customWidth="1"/>
    <col min="11022" max="11023" width="19.7109375" style="127" customWidth="1"/>
    <col min="11024" max="11024" width="15.28515625" style="127" customWidth="1"/>
    <col min="11025" max="11026" width="0" style="127" hidden="1" customWidth="1"/>
    <col min="11027" max="11262" width="9.140625" style="127"/>
    <col min="11263" max="11263" width="18.140625" style="127" customWidth="1"/>
    <col min="11264" max="11264" width="14" style="127" customWidth="1"/>
    <col min="11265" max="11277" width="10.5703125" style="127" customWidth="1"/>
    <col min="11278" max="11279" width="19.7109375" style="127" customWidth="1"/>
    <col min="11280" max="11280" width="15.28515625" style="127" customWidth="1"/>
    <col min="11281" max="11282" width="0" style="127" hidden="1" customWidth="1"/>
    <col min="11283" max="11518" width="9.140625" style="127"/>
    <col min="11519" max="11519" width="18.140625" style="127" customWidth="1"/>
    <col min="11520" max="11520" width="14" style="127" customWidth="1"/>
    <col min="11521" max="11533" width="10.5703125" style="127" customWidth="1"/>
    <col min="11534" max="11535" width="19.7109375" style="127" customWidth="1"/>
    <col min="11536" max="11536" width="15.28515625" style="127" customWidth="1"/>
    <col min="11537" max="11538" width="0" style="127" hidden="1" customWidth="1"/>
    <col min="11539" max="11774" width="9.140625" style="127"/>
    <col min="11775" max="11775" width="18.140625" style="127" customWidth="1"/>
    <col min="11776" max="11776" width="14" style="127" customWidth="1"/>
    <col min="11777" max="11789" width="10.5703125" style="127" customWidth="1"/>
    <col min="11790" max="11791" width="19.7109375" style="127" customWidth="1"/>
    <col min="11792" max="11792" width="15.28515625" style="127" customWidth="1"/>
    <col min="11793" max="11794" width="0" style="127" hidden="1" customWidth="1"/>
    <col min="11795" max="12030" width="9.140625" style="127"/>
    <col min="12031" max="12031" width="18.140625" style="127" customWidth="1"/>
    <col min="12032" max="12032" width="14" style="127" customWidth="1"/>
    <col min="12033" max="12045" width="10.5703125" style="127" customWidth="1"/>
    <col min="12046" max="12047" width="19.7109375" style="127" customWidth="1"/>
    <col min="12048" max="12048" width="15.28515625" style="127" customWidth="1"/>
    <col min="12049" max="12050" width="0" style="127" hidden="1" customWidth="1"/>
    <col min="12051" max="12286" width="9.140625" style="127"/>
    <col min="12287" max="12287" width="18.140625" style="127" customWidth="1"/>
    <col min="12288" max="12288" width="14" style="127" customWidth="1"/>
    <col min="12289" max="12301" width="10.5703125" style="127" customWidth="1"/>
    <col min="12302" max="12303" width="19.7109375" style="127" customWidth="1"/>
    <col min="12304" max="12304" width="15.28515625" style="127" customWidth="1"/>
    <col min="12305" max="12306" width="0" style="127" hidden="1" customWidth="1"/>
    <col min="12307" max="12542" width="9.140625" style="127"/>
    <col min="12543" max="12543" width="18.140625" style="127" customWidth="1"/>
    <col min="12544" max="12544" width="14" style="127" customWidth="1"/>
    <col min="12545" max="12557" width="10.5703125" style="127" customWidth="1"/>
    <col min="12558" max="12559" width="19.7109375" style="127" customWidth="1"/>
    <col min="12560" max="12560" width="15.28515625" style="127" customWidth="1"/>
    <col min="12561" max="12562" width="0" style="127" hidden="1" customWidth="1"/>
    <col min="12563" max="12798" width="9.140625" style="127"/>
    <col min="12799" max="12799" width="18.140625" style="127" customWidth="1"/>
    <col min="12800" max="12800" width="14" style="127" customWidth="1"/>
    <col min="12801" max="12813" width="10.5703125" style="127" customWidth="1"/>
    <col min="12814" max="12815" width="19.7109375" style="127" customWidth="1"/>
    <col min="12816" max="12816" width="15.28515625" style="127" customWidth="1"/>
    <col min="12817" max="12818" width="0" style="127" hidden="1" customWidth="1"/>
    <col min="12819" max="13054" width="9.140625" style="127"/>
    <col min="13055" max="13055" width="18.140625" style="127" customWidth="1"/>
    <col min="13056" max="13056" width="14" style="127" customWidth="1"/>
    <col min="13057" max="13069" width="10.5703125" style="127" customWidth="1"/>
    <col min="13070" max="13071" width="19.7109375" style="127" customWidth="1"/>
    <col min="13072" max="13072" width="15.28515625" style="127" customWidth="1"/>
    <col min="13073" max="13074" width="0" style="127" hidden="1" customWidth="1"/>
    <col min="13075" max="13310" width="9.140625" style="127"/>
    <col min="13311" max="13311" width="18.140625" style="127" customWidth="1"/>
    <col min="13312" max="13312" width="14" style="127" customWidth="1"/>
    <col min="13313" max="13325" width="10.5703125" style="127" customWidth="1"/>
    <col min="13326" max="13327" width="19.7109375" style="127" customWidth="1"/>
    <col min="13328" max="13328" width="15.28515625" style="127" customWidth="1"/>
    <col min="13329" max="13330" width="0" style="127" hidden="1" customWidth="1"/>
    <col min="13331" max="13566" width="9.140625" style="127"/>
    <col min="13567" max="13567" width="18.140625" style="127" customWidth="1"/>
    <col min="13568" max="13568" width="14" style="127" customWidth="1"/>
    <col min="13569" max="13581" width="10.5703125" style="127" customWidth="1"/>
    <col min="13582" max="13583" width="19.7109375" style="127" customWidth="1"/>
    <col min="13584" max="13584" width="15.28515625" style="127" customWidth="1"/>
    <col min="13585" max="13586" width="0" style="127" hidden="1" customWidth="1"/>
    <col min="13587" max="13822" width="9.140625" style="127"/>
    <col min="13823" max="13823" width="18.140625" style="127" customWidth="1"/>
    <col min="13824" max="13824" width="14" style="127" customWidth="1"/>
    <col min="13825" max="13837" width="10.5703125" style="127" customWidth="1"/>
    <col min="13838" max="13839" width="19.7109375" style="127" customWidth="1"/>
    <col min="13840" max="13840" width="15.28515625" style="127" customWidth="1"/>
    <col min="13841" max="13842" width="0" style="127" hidden="1" customWidth="1"/>
    <col min="13843" max="14078" width="9.140625" style="127"/>
    <col min="14079" max="14079" width="18.140625" style="127" customWidth="1"/>
    <col min="14080" max="14080" width="14" style="127" customWidth="1"/>
    <col min="14081" max="14093" width="10.5703125" style="127" customWidth="1"/>
    <col min="14094" max="14095" width="19.7109375" style="127" customWidth="1"/>
    <col min="14096" max="14096" width="15.28515625" style="127" customWidth="1"/>
    <col min="14097" max="14098" width="0" style="127" hidden="1" customWidth="1"/>
    <col min="14099" max="14334" width="9.140625" style="127"/>
    <col min="14335" max="14335" width="18.140625" style="127" customWidth="1"/>
    <col min="14336" max="14336" width="14" style="127" customWidth="1"/>
    <col min="14337" max="14349" width="10.5703125" style="127" customWidth="1"/>
    <col min="14350" max="14351" width="19.7109375" style="127" customWidth="1"/>
    <col min="14352" max="14352" width="15.28515625" style="127" customWidth="1"/>
    <col min="14353" max="14354" width="0" style="127" hidden="1" customWidth="1"/>
    <col min="14355" max="14590" width="9.140625" style="127"/>
    <col min="14591" max="14591" width="18.140625" style="127" customWidth="1"/>
    <col min="14592" max="14592" width="14" style="127" customWidth="1"/>
    <col min="14593" max="14605" width="10.5703125" style="127" customWidth="1"/>
    <col min="14606" max="14607" width="19.7109375" style="127" customWidth="1"/>
    <col min="14608" max="14608" width="15.28515625" style="127" customWidth="1"/>
    <col min="14609" max="14610" width="0" style="127" hidden="1" customWidth="1"/>
    <col min="14611" max="14846" width="9.140625" style="127"/>
    <col min="14847" max="14847" width="18.140625" style="127" customWidth="1"/>
    <col min="14848" max="14848" width="14" style="127" customWidth="1"/>
    <col min="14849" max="14861" width="10.5703125" style="127" customWidth="1"/>
    <col min="14862" max="14863" width="19.7109375" style="127" customWidth="1"/>
    <col min="14864" max="14864" width="15.28515625" style="127" customWidth="1"/>
    <col min="14865" max="14866" width="0" style="127" hidden="1" customWidth="1"/>
    <col min="14867" max="15102" width="9.140625" style="127"/>
    <col min="15103" max="15103" width="18.140625" style="127" customWidth="1"/>
    <col min="15104" max="15104" width="14" style="127" customWidth="1"/>
    <col min="15105" max="15117" width="10.5703125" style="127" customWidth="1"/>
    <col min="15118" max="15119" width="19.7109375" style="127" customWidth="1"/>
    <col min="15120" max="15120" width="15.28515625" style="127" customWidth="1"/>
    <col min="15121" max="15122" width="0" style="127" hidden="1" customWidth="1"/>
    <col min="15123" max="15358" width="9.140625" style="127"/>
    <col min="15359" max="15359" width="18.140625" style="127" customWidth="1"/>
    <col min="15360" max="15360" width="14" style="127" customWidth="1"/>
    <col min="15361" max="15373" width="10.5703125" style="127" customWidth="1"/>
    <col min="15374" max="15375" width="19.7109375" style="127" customWidth="1"/>
    <col min="15376" max="15376" width="15.28515625" style="127" customWidth="1"/>
    <col min="15377" max="15378" width="0" style="127" hidden="1" customWidth="1"/>
    <col min="15379" max="15614" width="9.140625" style="127"/>
    <col min="15615" max="15615" width="18.140625" style="127" customWidth="1"/>
    <col min="15616" max="15616" width="14" style="127" customWidth="1"/>
    <col min="15617" max="15629" width="10.5703125" style="127" customWidth="1"/>
    <col min="15630" max="15631" width="19.7109375" style="127" customWidth="1"/>
    <col min="15632" max="15632" width="15.28515625" style="127" customWidth="1"/>
    <col min="15633" max="15634" width="0" style="127" hidden="1" customWidth="1"/>
    <col min="15635" max="15870" width="9.140625" style="127"/>
    <col min="15871" max="15871" width="18.140625" style="127" customWidth="1"/>
    <col min="15872" max="15872" width="14" style="127" customWidth="1"/>
    <col min="15873" max="15885" width="10.5703125" style="127" customWidth="1"/>
    <col min="15886" max="15887" width="19.7109375" style="127" customWidth="1"/>
    <col min="15888" max="15888" width="15.28515625" style="127" customWidth="1"/>
    <col min="15889" max="15890" width="0" style="127" hidden="1" customWidth="1"/>
    <col min="15891" max="16126" width="9.140625" style="127"/>
    <col min="16127" max="16127" width="18.140625" style="127" customWidth="1"/>
    <col min="16128" max="16128" width="14" style="127" customWidth="1"/>
    <col min="16129" max="16141" width="10.5703125" style="127" customWidth="1"/>
    <col min="16142" max="16143" width="19.7109375" style="127" customWidth="1"/>
    <col min="16144" max="16144" width="15.28515625" style="127" customWidth="1"/>
    <col min="16145" max="16146" width="0" style="127" hidden="1" customWidth="1"/>
    <col min="16147" max="16384" width="9.140625" style="127"/>
  </cols>
  <sheetData>
    <row r="2" spans="1:27" ht="18.75">
      <c r="A2" s="875" t="s">
        <v>114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</row>
    <row r="4" spans="1:27">
      <c r="A4" s="128" t="s">
        <v>74</v>
      </c>
      <c r="B4" s="128" t="s">
        <v>75</v>
      </c>
      <c r="C4" s="129" t="s">
        <v>115</v>
      </c>
      <c r="D4" s="128" t="s">
        <v>116</v>
      </c>
      <c r="E4" s="129" t="s">
        <v>117</v>
      </c>
    </row>
    <row r="5" spans="1:27">
      <c r="A5" s="130" t="s">
        <v>118</v>
      </c>
      <c r="B5" s="131" t="s">
        <v>119</v>
      </c>
      <c r="C5" s="132">
        <v>1.103</v>
      </c>
      <c r="D5" s="939">
        <v>0.10199999999999999</v>
      </c>
      <c r="E5" s="133">
        <f>ROUND(C5*D$5+C5,3)</f>
        <v>1.216</v>
      </c>
      <c r="F5" s="127" t="s">
        <v>120</v>
      </c>
    </row>
    <row r="6" spans="1:27">
      <c r="A6" s="130" t="s">
        <v>121</v>
      </c>
      <c r="B6" s="131" t="s">
        <v>119</v>
      </c>
      <c r="C6" s="132">
        <v>0.31</v>
      </c>
      <c r="D6" s="940"/>
      <c r="E6" s="132">
        <f>ROUND(C6*D$5+C6,3)</f>
        <v>0.34200000000000003</v>
      </c>
    </row>
    <row r="7" spans="1:27" ht="25.5">
      <c r="A7" s="134" t="s">
        <v>122</v>
      </c>
      <c r="B7" s="135" t="s">
        <v>123</v>
      </c>
      <c r="C7" s="136">
        <v>4200</v>
      </c>
      <c r="D7" s="940"/>
      <c r="E7" s="136">
        <f>ROUND(C7*D$5+C7,3)</f>
        <v>4628.3999999999996</v>
      </c>
    </row>
    <row r="8" spans="1:27">
      <c r="A8" s="131" t="s">
        <v>124</v>
      </c>
      <c r="B8" s="131" t="s">
        <v>125</v>
      </c>
      <c r="C8" s="136">
        <v>10725.071</v>
      </c>
      <c r="D8" s="940"/>
      <c r="E8" s="136">
        <f>ROUND(C8*D$5+C8,3)</f>
        <v>11819.028</v>
      </c>
    </row>
    <row r="9" spans="1:27">
      <c r="A9" s="131" t="s">
        <v>124</v>
      </c>
      <c r="B9" s="131" t="s">
        <v>119</v>
      </c>
      <c r="C9" s="137">
        <v>1.643</v>
      </c>
      <c r="D9" s="940"/>
      <c r="E9" s="132">
        <f>ROUND(C9*D$5+C9,3)</f>
        <v>1.8109999999999999</v>
      </c>
      <c r="H9" s="138"/>
    </row>
    <row r="10" spans="1:27">
      <c r="A10" s="131" t="s">
        <v>126</v>
      </c>
      <c r="B10" s="131" t="s">
        <v>127</v>
      </c>
      <c r="C10" s="136">
        <v>372000</v>
      </c>
      <c r="D10" s="941"/>
      <c r="E10" s="139">
        <f>C10</f>
        <v>372000</v>
      </c>
    </row>
    <row r="11" spans="1:27" ht="15.75" thickBot="1">
      <c r="A11" s="942"/>
      <c r="B11" s="943"/>
      <c r="C11" s="943"/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</row>
    <row r="12" spans="1:27" ht="26.25" thickBot="1">
      <c r="A12" s="140">
        <v>2015</v>
      </c>
      <c r="B12" s="944" t="s">
        <v>128</v>
      </c>
      <c r="C12" s="945"/>
      <c r="D12" s="945"/>
      <c r="E12" s="946"/>
      <c r="F12" s="944" t="s">
        <v>129</v>
      </c>
      <c r="G12" s="945"/>
      <c r="H12" s="945"/>
      <c r="I12" s="946"/>
      <c r="J12" s="944" t="s">
        <v>130</v>
      </c>
      <c r="K12" s="946"/>
      <c r="L12" s="141" t="s">
        <v>131</v>
      </c>
      <c r="M12" s="944" t="s">
        <v>132</v>
      </c>
      <c r="N12" s="945"/>
      <c r="O12" s="946"/>
      <c r="P12" s="937" t="s">
        <v>133</v>
      </c>
      <c r="Q12" s="937" t="s">
        <v>134</v>
      </c>
      <c r="R12" s="937" t="s">
        <v>135</v>
      </c>
      <c r="S12" s="937" t="s">
        <v>136</v>
      </c>
      <c r="T12" s="947" t="s">
        <v>137</v>
      </c>
      <c r="U12" s="948"/>
      <c r="V12" s="937" t="s">
        <v>138</v>
      </c>
    </row>
    <row r="13" spans="1:27" ht="64.5" thickBot="1">
      <c r="A13" s="142" t="s">
        <v>139</v>
      </c>
      <c r="B13" s="143" t="s">
        <v>140</v>
      </c>
      <c r="C13" s="143" t="s">
        <v>141</v>
      </c>
      <c r="D13" s="143" t="s">
        <v>142</v>
      </c>
      <c r="E13" s="143" t="s">
        <v>143</v>
      </c>
      <c r="F13" s="143" t="s">
        <v>140</v>
      </c>
      <c r="G13" s="143" t="s">
        <v>141</v>
      </c>
      <c r="H13" s="143" t="s">
        <v>142</v>
      </c>
      <c r="I13" s="143" t="s">
        <v>143</v>
      </c>
      <c r="J13" s="143" t="s">
        <v>144</v>
      </c>
      <c r="K13" s="143" t="s">
        <v>145</v>
      </c>
      <c r="L13" s="143" t="s">
        <v>142</v>
      </c>
      <c r="M13" s="143" t="s">
        <v>141</v>
      </c>
      <c r="N13" s="143" t="s">
        <v>142</v>
      </c>
      <c r="O13" s="143" t="s">
        <v>143</v>
      </c>
      <c r="P13" s="938"/>
      <c r="Q13" s="938"/>
      <c r="R13" s="938"/>
      <c r="S13" s="938"/>
      <c r="T13" s="144" t="s">
        <v>146</v>
      </c>
      <c r="U13" s="145" t="s">
        <v>147</v>
      </c>
      <c r="V13" s="938"/>
    </row>
    <row r="14" spans="1:27">
      <c r="A14" s="128" t="s">
        <v>11</v>
      </c>
      <c r="B14" s="146">
        <f>'[2]прогнозный баланс'!J7+'[2]прогнозный баланс'!C7+'[2]прогнозный баланс'!D7</f>
        <v>61313.382905999308</v>
      </c>
      <c r="C14" s="147">
        <f>B14*C5/1000</f>
        <v>67.628661345317227</v>
      </c>
      <c r="D14" s="147">
        <f>B14*C6/1000</f>
        <v>19.007148700859787</v>
      </c>
      <c r="E14" s="147">
        <f>B14*C9/1000</f>
        <v>100.73788811455685</v>
      </c>
      <c r="F14" s="146">
        <f>'[2]прогнозный баланс'!B7</f>
        <v>9309.8449999999993</v>
      </c>
      <c r="G14" s="147">
        <f>F14*C5/1000</f>
        <v>10.268759034999999</v>
      </c>
      <c r="H14" s="147">
        <f>F14*C6/1000</f>
        <v>2.8860519499999997</v>
      </c>
      <c r="I14" s="147">
        <f>F14*C9/1000</f>
        <v>15.296075334999999</v>
      </c>
      <c r="J14" s="148">
        <v>86</v>
      </c>
      <c r="K14" s="149">
        <f>J14*C8/1000</f>
        <v>922.35610600000007</v>
      </c>
      <c r="L14" s="146">
        <f>C7*4/1000</f>
        <v>16.8</v>
      </c>
      <c r="M14" s="147">
        <f>C14+G14</f>
        <v>77.897420380317229</v>
      </c>
      <c r="N14" s="147">
        <f>D14+H14+L14</f>
        <v>38.693200650859787</v>
      </c>
      <c r="O14" s="147">
        <f>E14+I14+K14</f>
        <v>1038.3900694495569</v>
      </c>
      <c r="P14" s="150">
        <f>C10/1000</f>
        <v>372</v>
      </c>
      <c r="Q14" s="149"/>
      <c r="R14" s="149"/>
      <c r="S14" s="151">
        <f>M14+N14+O14+P14+Q14+R14</f>
        <v>1526.980690480734</v>
      </c>
      <c r="T14" s="152">
        <v>11729.620566355101</v>
      </c>
      <c r="U14" s="153" t="e">
        <f>T14+#REF!</f>
        <v>#REF!</v>
      </c>
      <c r="V14" s="151">
        <f>C14+D14+E14</f>
        <v>187.37369816073385</v>
      </c>
      <c r="W14" s="154">
        <f>V14/B14</f>
        <v>3.0559999999999997E-3</v>
      </c>
      <c r="X14" s="155"/>
      <c r="Y14" s="155"/>
      <c r="Z14" s="155"/>
      <c r="AA14" s="155"/>
    </row>
    <row r="15" spans="1:27">
      <c r="A15" s="128" t="s">
        <v>12</v>
      </c>
      <c r="B15" s="146">
        <f>'[2]прогнозный баланс'!J8+'[2]прогнозный баланс'!C8+'[2]прогнозный баланс'!D8</f>
        <v>56310.210705363781</v>
      </c>
      <c r="C15" s="147">
        <f>B15*C5/1000</f>
        <v>62.110162408016251</v>
      </c>
      <c r="D15" s="147">
        <f>B15*C6/1000</f>
        <v>17.456165318662773</v>
      </c>
      <c r="E15" s="147">
        <f>B15*C9/1000</f>
        <v>92.517676188912688</v>
      </c>
      <c r="F15" s="146">
        <f>'[2]прогнозный баланс'!B8</f>
        <v>6725.7884999999997</v>
      </c>
      <c r="G15" s="147">
        <f>F15*C5/1000</f>
        <v>7.4185447154999995</v>
      </c>
      <c r="H15" s="147">
        <f>F15*C6/1000</f>
        <v>2.084994435</v>
      </c>
      <c r="I15" s="147">
        <f>F15*C9/1000</f>
        <v>11.0504705055</v>
      </c>
      <c r="J15" s="148">
        <f>J14</f>
        <v>86</v>
      </c>
      <c r="K15" s="149">
        <f>J15*C8/1000</f>
        <v>922.35610600000007</v>
      </c>
      <c r="L15" s="146">
        <f>C7*4/1000</f>
        <v>16.8</v>
      </c>
      <c r="M15" s="147">
        <f>C15+G15</f>
        <v>69.528707123516256</v>
      </c>
      <c r="N15" s="147">
        <f>D15+H15+L15</f>
        <v>36.341159753662772</v>
      </c>
      <c r="O15" s="147">
        <f>E15+I15+K15</f>
        <v>1025.9242526944126</v>
      </c>
      <c r="P15" s="131">
        <v>0</v>
      </c>
      <c r="Q15" s="149"/>
      <c r="R15" s="149"/>
      <c r="S15" s="151">
        <f>M15+N15+O15+P15+Q15+R15</f>
        <v>1131.7941195715916</v>
      </c>
      <c r="T15" s="156">
        <v>12751.55602312683</v>
      </c>
      <c r="U15" s="157" t="e">
        <f>T15+#REF!</f>
        <v>#REF!</v>
      </c>
      <c r="V15" s="151">
        <f t="shared" ref="V15:V29" si="0">C15+D15+E15</f>
        <v>172.08400391559172</v>
      </c>
      <c r="W15" s="154">
        <f t="shared" ref="W15:W30" si="1">V15/B15</f>
        <v>3.0560000000000001E-3</v>
      </c>
      <c r="X15" s="155"/>
      <c r="Y15" s="155"/>
      <c r="Z15" s="155"/>
      <c r="AA15" s="155"/>
    </row>
    <row r="16" spans="1:27" ht="15.75" thickBot="1">
      <c r="A16" s="128" t="s">
        <v>13</v>
      </c>
      <c r="B16" s="146">
        <f>'[2]прогнозный баланс'!J9+'[2]прогнозный баланс'!C9+'[2]прогнозный баланс'!D9</f>
        <v>54967.739636307197</v>
      </c>
      <c r="C16" s="147">
        <f>B16*C5/1000</f>
        <v>60.629416818846842</v>
      </c>
      <c r="D16" s="147">
        <f>B16*C6/1000</f>
        <v>17.039999287255231</v>
      </c>
      <c r="E16" s="147">
        <f>B16*C9/1000</f>
        <v>90.31199622245272</v>
      </c>
      <c r="F16" s="146">
        <f>'[2]прогнозный баланс'!B9</f>
        <v>7967.2910000000002</v>
      </c>
      <c r="G16" s="147">
        <f>F16*C5/1000</f>
        <v>8.7879219729999996</v>
      </c>
      <c r="H16" s="147">
        <f>F16*C6/1000</f>
        <v>2.4698602099999998</v>
      </c>
      <c r="I16" s="147">
        <f>F16*C9/1000</f>
        <v>13.090259113</v>
      </c>
      <c r="J16" s="148">
        <f>J14</f>
        <v>86</v>
      </c>
      <c r="K16" s="149">
        <f>J16*C8/1000</f>
        <v>922.35610600000007</v>
      </c>
      <c r="L16" s="146">
        <f>C7*4/1000</f>
        <v>16.8</v>
      </c>
      <c r="M16" s="147">
        <f>C16+G16</f>
        <v>69.417338791846845</v>
      </c>
      <c r="N16" s="147">
        <f>D16+H16+L16</f>
        <v>36.309859497255232</v>
      </c>
      <c r="O16" s="147">
        <f>E16+I16+K16</f>
        <v>1025.7583613354527</v>
      </c>
      <c r="P16" s="131">
        <v>0</v>
      </c>
      <c r="Q16" s="149"/>
      <c r="R16" s="149"/>
      <c r="S16" s="151">
        <f>M16+N16+O16+P16+Q16+R16</f>
        <v>1131.4855596245548</v>
      </c>
      <c r="T16" s="158">
        <v>10770.327139375402</v>
      </c>
      <c r="U16" s="159" t="e">
        <f>T16+#REF!</f>
        <v>#REF!</v>
      </c>
      <c r="V16" s="151">
        <f t="shared" si="0"/>
        <v>167.9814123285548</v>
      </c>
      <c r="W16" s="154">
        <f t="shared" si="1"/>
        <v>3.0560000000000001E-3</v>
      </c>
      <c r="X16" s="155"/>
      <c r="Y16" s="155"/>
      <c r="Z16" s="155"/>
      <c r="AA16" s="155"/>
    </row>
    <row r="17" spans="1:27" ht="15.75" thickBot="1">
      <c r="A17" s="160" t="s">
        <v>148</v>
      </c>
      <c r="B17" s="161">
        <f>SUM(B14:B16)</f>
        <v>172591.33324767029</v>
      </c>
      <c r="C17" s="161">
        <f t="shared" ref="C17:I17" si="2">SUM(C14:C16)</f>
        <v>190.3682405721803</v>
      </c>
      <c r="D17" s="161">
        <f t="shared" si="2"/>
        <v>53.503313306777784</v>
      </c>
      <c r="E17" s="161">
        <f t="shared" si="2"/>
        <v>283.56756052592226</v>
      </c>
      <c r="F17" s="161">
        <f t="shared" si="2"/>
        <v>24002.924500000001</v>
      </c>
      <c r="G17" s="162">
        <f t="shared" si="2"/>
        <v>26.475225723499999</v>
      </c>
      <c r="H17" s="162">
        <f t="shared" si="2"/>
        <v>7.4409065949999995</v>
      </c>
      <c r="I17" s="162">
        <f t="shared" si="2"/>
        <v>39.436804953500001</v>
      </c>
      <c r="J17" s="161">
        <f>SUM(J14:J16)/3</f>
        <v>86</v>
      </c>
      <c r="K17" s="163">
        <f t="shared" ref="K17:S17" si="3">SUM(K14:K16)</f>
        <v>2767.0683180000001</v>
      </c>
      <c r="L17" s="163">
        <f t="shared" si="3"/>
        <v>50.400000000000006</v>
      </c>
      <c r="M17" s="162">
        <f t="shared" si="3"/>
        <v>216.84346629568032</v>
      </c>
      <c r="N17" s="162">
        <f t="shared" si="3"/>
        <v>111.34421990177779</v>
      </c>
      <c r="O17" s="162">
        <f t="shared" si="3"/>
        <v>3090.0726834794223</v>
      </c>
      <c r="P17" s="164">
        <f t="shared" si="3"/>
        <v>372</v>
      </c>
      <c r="Q17" s="163">
        <f t="shared" si="3"/>
        <v>0</v>
      </c>
      <c r="R17" s="163">
        <f t="shared" si="3"/>
        <v>0</v>
      </c>
      <c r="S17" s="165">
        <f t="shared" si="3"/>
        <v>3790.2603696768806</v>
      </c>
      <c r="T17" s="166">
        <v>35251.503728857337</v>
      </c>
      <c r="U17" s="167" t="e">
        <f>T17+#REF!</f>
        <v>#REF!</v>
      </c>
      <c r="V17" s="165">
        <f t="shared" si="0"/>
        <v>527.43911440488034</v>
      </c>
      <c r="W17" s="154">
        <f t="shared" si="1"/>
        <v>3.0559999999999997E-3</v>
      </c>
      <c r="X17" s="168"/>
      <c r="Y17" s="155"/>
      <c r="Z17" s="155"/>
      <c r="AA17" s="155"/>
    </row>
    <row r="18" spans="1:27">
      <c r="A18" s="128" t="s">
        <v>14</v>
      </c>
      <c r="B18" s="146">
        <f>'[2]прогнозный баланс'!J11+'[2]прогнозный баланс'!C11+'[2]прогнозный баланс'!D11</f>
        <v>57806.783471686562</v>
      </c>
      <c r="C18" s="147">
        <f>B18*C5/1000</f>
        <v>63.760882169270275</v>
      </c>
      <c r="D18" s="147">
        <f>B18*C6/1000</f>
        <v>17.920102876222835</v>
      </c>
      <c r="E18" s="147">
        <f>B18*C9/1000</f>
        <v>94.976545243981022</v>
      </c>
      <c r="F18" s="146">
        <f>'[2]прогнозный баланс'!B11</f>
        <v>11219.704900000001</v>
      </c>
      <c r="G18" s="147">
        <f>F18*C5/1000</f>
        <v>12.3753345047</v>
      </c>
      <c r="H18" s="147">
        <f>F18*C6/1000</f>
        <v>3.4781085190000005</v>
      </c>
      <c r="I18" s="147">
        <f>F18*C9/1000</f>
        <v>18.4339751507</v>
      </c>
      <c r="J18" s="148">
        <f>J14</f>
        <v>86</v>
      </c>
      <c r="K18" s="149">
        <f>J18*C8/1000</f>
        <v>922.35610600000007</v>
      </c>
      <c r="L18" s="146">
        <f>C7*4/1000</f>
        <v>16.8</v>
      </c>
      <c r="M18" s="147">
        <f>C18+G18</f>
        <v>76.136216673970267</v>
      </c>
      <c r="N18" s="147">
        <f>D18+H18+L18</f>
        <v>38.198211395222835</v>
      </c>
      <c r="O18" s="147">
        <f>E18+I18+K18</f>
        <v>1035.766626394681</v>
      </c>
      <c r="P18" s="131">
        <f>C10/1000</f>
        <v>372</v>
      </c>
      <c r="Q18" s="149"/>
      <c r="R18" s="149"/>
      <c r="S18" s="151">
        <f>M18+N18+O18+P18+Q18+R18</f>
        <v>1522.1010544638741</v>
      </c>
      <c r="T18" s="156">
        <v>13440.024020488023</v>
      </c>
      <c r="U18" s="157" t="e">
        <f>T18+#REF!</f>
        <v>#REF!</v>
      </c>
      <c r="V18" s="151">
        <f t="shared" si="0"/>
        <v>176.65753028947415</v>
      </c>
      <c r="W18" s="154">
        <f t="shared" si="1"/>
        <v>3.0560000000000006E-3</v>
      </c>
      <c r="X18" s="155"/>
      <c r="Y18" s="155"/>
      <c r="Z18" s="155"/>
      <c r="AA18" s="155"/>
    </row>
    <row r="19" spans="1:27">
      <c r="A19" s="128" t="s">
        <v>15</v>
      </c>
      <c r="B19" s="146">
        <f>'[2]прогнозный баланс'!J12+'[2]прогнозный баланс'!C12+'[2]прогнозный баланс'!D12</f>
        <v>63988.221299143574</v>
      </c>
      <c r="C19" s="147">
        <f>B19*C5/1000</f>
        <v>70.579008092955362</v>
      </c>
      <c r="D19" s="147">
        <f>B19*C6/1000</f>
        <v>19.836348602734507</v>
      </c>
      <c r="E19" s="147">
        <f>B19*C9/1000</f>
        <v>105.13264759449289</v>
      </c>
      <c r="F19" s="146">
        <f>'[2]прогнозный баланс'!B12</f>
        <v>38213.557500000003</v>
      </c>
      <c r="G19" s="147">
        <f>F19*C5/1000</f>
        <v>42.149553922500004</v>
      </c>
      <c r="H19" s="147">
        <f>F19*C6/1000</f>
        <v>11.846202825000001</v>
      </c>
      <c r="I19" s="147">
        <f>F19*C9/1000</f>
        <v>62.784874972499999</v>
      </c>
      <c r="J19" s="148">
        <f>J14</f>
        <v>86</v>
      </c>
      <c r="K19" s="149">
        <f>J19*C8/1000</f>
        <v>922.35610600000007</v>
      </c>
      <c r="L19" s="146">
        <f>C7*4/1000</f>
        <v>16.8</v>
      </c>
      <c r="M19" s="147">
        <f>C19+G19</f>
        <v>112.72856201545537</v>
      </c>
      <c r="N19" s="147">
        <f>D19+H19+L19</f>
        <v>48.482551427734506</v>
      </c>
      <c r="O19" s="147">
        <f>E19+I19+K19</f>
        <v>1090.273628566993</v>
      </c>
      <c r="P19" s="131">
        <v>0</v>
      </c>
      <c r="Q19" s="149"/>
      <c r="R19" s="149"/>
      <c r="S19" s="151">
        <f>M19+N19+O19+P19+Q19+R19</f>
        <v>1251.4847420101828</v>
      </c>
      <c r="T19" s="156">
        <v>13343.289864086222</v>
      </c>
      <c r="U19" s="157" t="e">
        <f>T19+#REF!</f>
        <v>#REF!</v>
      </c>
      <c r="V19" s="151">
        <f t="shared" si="0"/>
        <v>195.54800429018275</v>
      </c>
      <c r="W19" s="154">
        <f t="shared" si="1"/>
        <v>3.0559999999999997E-3</v>
      </c>
      <c r="X19" s="155"/>
      <c r="Y19" s="155"/>
      <c r="Z19" s="155"/>
      <c r="AA19" s="155"/>
    </row>
    <row r="20" spans="1:27" ht="15.75" thickBot="1">
      <c r="A20" s="128" t="s">
        <v>16</v>
      </c>
      <c r="B20" s="146">
        <f>'[2]прогнозный баланс'!J13+'[2]прогнозный баланс'!C13+'[2]прогнозный баланс'!D13</f>
        <v>62656.288612644465</v>
      </c>
      <c r="C20" s="147">
        <f>B20*C5/1000</f>
        <v>69.109886339746836</v>
      </c>
      <c r="D20" s="147">
        <f>B20*C6/1000</f>
        <v>19.423449469919781</v>
      </c>
      <c r="E20" s="147">
        <f>B20*C9/1000</f>
        <v>102.94428219057485</v>
      </c>
      <c r="F20" s="146">
        <f>'[2]прогнозный баланс'!B13</f>
        <v>59679.994200000001</v>
      </c>
      <c r="G20" s="147">
        <f>F20*C5/1000</f>
        <v>65.827033602599997</v>
      </c>
      <c r="H20" s="147">
        <f>F20*C6/1000</f>
        <v>18.500798202000002</v>
      </c>
      <c r="I20" s="147">
        <f>F20*C9/1000</f>
        <v>98.054230470600004</v>
      </c>
      <c r="J20" s="148">
        <f>J14</f>
        <v>86</v>
      </c>
      <c r="K20" s="149">
        <f>J20*C8/1000</f>
        <v>922.35610600000007</v>
      </c>
      <c r="L20" s="146">
        <f>C7*4/1000</f>
        <v>16.8</v>
      </c>
      <c r="M20" s="147">
        <f>C20+G20</f>
        <v>134.93691994234683</v>
      </c>
      <c r="N20" s="147">
        <f>D20+H20+L20</f>
        <v>54.724247671919784</v>
      </c>
      <c r="O20" s="147">
        <f>E20+I20+K20</f>
        <v>1123.354618661175</v>
      </c>
      <c r="P20" s="131">
        <v>0</v>
      </c>
      <c r="Q20" s="149"/>
      <c r="R20" s="149"/>
      <c r="S20" s="151">
        <f>M20+N20+O20+P20+Q20+R20</f>
        <v>1313.0157862754415</v>
      </c>
      <c r="T20" s="158">
        <v>16031.5837891507</v>
      </c>
      <c r="U20" s="159" t="e">
        <f>T20+#REF!</f>
        <v>#REF!</v>
      </c>
      <c r="V20" s="151">
        <f t="shared" si="0"/>
        <v>191.47761800024148</v>
      </c>
      <c r="W20" s="154">
        <f t="shared" si="1"/>
        <v>3.0559999999999997E-3</v>
      </c>
      <c r="X20" s="155"/>
      <c r="Y20" s="155"/>
      <c r="Z20" s="155"/>
      <c r="AA20" s="155"/>
    </row>
    <row r="21" spans="1:27" ht="15.75" thickBot="1">
      <c r="A21" s="160" t="s">
        <v>149</v>
      </c>
      <c r="B21" s="161">
        <f t="shared" ref="B21:I21" si="4">SUM(B18:B20)</f>
        <v>184451.29338347458</v>
      </c>
      <c r="C21" s="161">
        <f t="shared" si="4"/>
        <v>203.44977660197247</v>
      </c>
      <c r="D21" s="161">
        <f t="shared" si="4"/>
        <v>57.179900948877126</v>
      </c>
      <c r="E21" s="161">
        <f t="shared" si="4"/>
        <v>303.05347502904874</v>
      </c>
      <c r="F21" s="161">
        <f t="shared" si="4"/>
        <v>109113.25660000001</v>
      </c>
      <c r="G21" s="162">
        <f t="shared" si="4"/>
        <v>120.35192202979999</v>
      </c>
      <c r="H21" s="162">
        <f t="shared" si="4"/>
        <v>33.825109546000007</v>
      </c>
      <c r="I21" s="162">
        <f t="shared" si="4"/>
        <v>179.27308059379999</v>
      </c>
      <c r="J21" s="161">
        <f>SUM(J18:J20)/3</f>
        <v>86</v>
      </c>
      <c r="K21" s="163">
        <f t="shared" ref="K21:S21" si="5">SUM(K18:K20)</f>
        <v>2767.0683180000001</v>
      </c>
      <c r="L21" s="163">
        <f t="shared" si="5"/>
        <v>50.400000000000006</v>
      </c>
      <c r="M21" s="162">
        <f t="shared" si="5"/>
        <v>323.80169863177247</v>
      </c>
      <c r="N21" s="162">
        <f t="shared" si="5"/>
        <v>141.40501049487713</v>
      </c>
      <c r="O21" s="162">
        <f t="shared" si="5"/>
        <v>3249.3948736228485</v>
      </c>
      <c r="P21" s="164">
        <f t="shared" si="5"/>
        <v>372</v>
      </c>
      <c r="Q21" s="163">
        <f t="shared" si="5"/>
        <v>0</v>
      </c>
      <c r="R21" s="163">
        <f t="shared" si="5"/>
        <v>0</v>
      </c>
      <c r="S21" s="165">
        <f t="shared" si="5"/>
        <v>4086.6015827494984</v>
      </c>
      <c r="T21" s="166">
        <v>42814.897673724947</v>
      </c>
      <c r="U21" s="167" t="e">
        <f>T21+#REF!</f>
        <v>#REF!</v>
      </c>
      <c r="V21" s="165">
        <f t="shared" si="0"/>
        <v>563.68315257989832</v>
      </c>
      <c r="W21" s="154">
        <f t="shared" si="1"/>
        <v>3.0560000000000001E-3</v>
      </c>
      <c r="Y21" s="155"/>
      <c r="Z21" s="155"/>
      <c r="AA21" s="155"/>
    </row>
    <row r="22" spans="1:27">
      <c r="A22" s="128" t="s">
        <v>17</v>
      </c>
      <c r="B22" s="146">
        <f>'[2]прогнозный баланс'!J16+'[2]прогнозный баланс'!C16+'[2]прогнозный баланс'!D16</f>
        <v>65631.006968708622</v>
      </c>
      <c r="C22" s="147">
        <f>B22*E5/1000</f>
        <v>79.807304473949685</v>
      </c>
      <c r="D22" s="147">
        <f>B22*E6/1000</f>
        <v>22.445804383298348</v>
      </c>
      <c r="E22" s="147">
        <f>B22*E9/1000</f>
        <v>118.85775362033131</v>
      </c>
      <c r="F22" s="146">
        <f>'[2]прогнозный баланс'!B16</f>
        <v>57717.033600000002</v>
      </c>
      <c r="G22" s="147">
        <f>F22*E5/1000</f>
        <v>70.183912857600006</v>
      </c>
      <c r="H22" s="147">
        <f>F22*E6/1000</f>
        <v>19.739225491200003</v>
      </c>
      <c r="I22" s="147">
        <f>F22*E9/1000</f>
        <v>104.5255478496</v>
      </c>
      <c r="J22" s="148">
        <f>J14</f>
        <v>86</v>
      </c>
      <c r="K22" s="149">
        <f>J22*E8/1000</f>
        <v>1016.436408</v>
      </c>
      <c r="L22" s="146">
        <f>E7*4/1000</f>
        <v>18.5136</v>
      </c>
      <c r="M22" s="147">
        <f>C22+G22</f>
        <v>149.99121733154971</v>
      </c>
      <c r="N22" s="147">
        <f>D22+H22+L22</f>
        <v>60.698629874498351</v>
      </c>
      <c r="O22" s="147">
        <f>E22+I22+K22</f>
        <v>1239.8197094699312</v>
      </c>
      <c r="P22" s="169">
        <f>E10/1000</f>
        <v>372</v>
      </c>
      <c r="Q22" s="149"/>
      <c r="R22" s="149"/>
      <c r="S22" s="151">
        <f>M22+N22+O22+P22+Q22+R22</f>
        <v>1822.5095566759792</v>
      </c>
      <c r="T22" s="156">
        <v>14967.205520067328</v>
      </c>
      <c r="U22" s="157" t="e">
        <f>T22+#REF!</f>
        <v>#REF!</v>
      </c>
      <c r="V22" s="151">
        <f t="shared" si="0"/>
        <v>221.11086247757936</v>
      </c>
      <c r="W22" s="154">
        <f t="shared" si="1"/>
        <v>3.369E-3</v>
      </c>
      <c r="X22" s="155"/>
      <c r="Y22" s="155"/>
      <c r="Z22" s="155"/>
      <c r="AA22" s="155"/>
    </row>
    <row r="23" spans="1:27">
      <c r="A23" s="128" t="s">
        <v>18</v>
      </c>
      <c r="B23" s="146">
        <f>'[2]прогнозный баланс'!J17+'[2]прогнозный баланс'!C17+'[2]прогнозный баланс'!D17</f>
        <v>67791.824401385107</v>
      </c>
      <c r="C23" s="147">
        <f>B23*E5/1000</f>
        <v>82.434858472084287</v>
      </c>
      <c r="D23" s="147">
        <f>B23*E6/1000</f>
        <v>23.184803945273707</v>
      </c>
      <c r="E23" s="147">
        <f>B23*E9/1000</f>
        <v>122.77099399090842</v>
      </c>
      <c r="F23" s="146">
        <f>'[2]прогнозный баланс'!B17</f>
        <v>55683.046300000002</v>
      </c>
      <c r="G23" s="147">
        <f>F23*E5/1000</f>
        <v>67.710584300799994</v>
      </c>
      <c r="H23" s="147">
        <f>F23*E6/1000</f>
        <v>19.0436018346</v>
      </c>
      <c r="I23" s="147">
        <f>F23*E9/1000</f>
        <v>100.8419968493</v>
      </c>
      <c r="J23" s="148">
        <f>J14</f>
        <v>86</v>
      </c>
      <c r="K23" s="149">
        <f>J23*E8/1000</f>
        <v>1016.436408</v>
      </c>
      <c r="L23" s="146">
        <f>E7*4/1000</f>
        <v>18.5136</v>
      </c>
      <c r="M23" s="147">
        <f>C23+G23</f>
        <v>150.14544277288428</v>
      </c>
      <c r="N23" s="147">
        <f>D23+H23+L23</f>
        <v>60.742005779873708</v>
      </c>
      <c r="O23" s="147">
        <f>E23+I23+K23</f>
        <v>1240.0493988402084</v>
      </c>
      <c r="P23" s="131">
        <v>0</v>
      </c>
      <c r="Q23" s="149"/>
      <c r="R23" s="149"/>
      <c r="S23" s="151">
        <f>M23+N23+O23+P23+Q23+R23</f>
        <v>1450.9368473929662</v>
      </c>
      <c r="T23" s="156">
        <v>13418.873914543121</v>
      </c>
      <c r="U23" s="157" t="e">
        <f>T23+#REF!</f>
        <v>#REF!</v>
      </c>
      <c r="V23" s="151">
        <f t="shared" si="0"/>
        <v>228.39065640826641</v>
      </c>
      <c r="W23" s="154">
        <f t="shared" si="1"/>
        <v>3.3689999999999996E-3</v>
      </c>
      <c r="X23" s="155"/>
      <c r="Y23" s="155"/>
      <c r="Z23" s="155"/>
      <c r="AA23" s="155"/>
    </row>
    <row r="24" spans="1:27" ht="15.75" thickBot="1">
      <c r="A24" s="128" t="s">
        <v>19</v>
      </c>
      <c r="B24" s="146">
        <f>'[2]прогнозный баланс'!J18+'[2]прогнозный баланс'!C18+'[2]прогнозный баланс'!D18</f>
        <v>72638.738677993999</v>
      </c>
      <c r="C24" s="147">
        <f>B24*E5/1000</f>
        <v>88.328706232440695</v>
      </c>
      <c r="D24" s="147">
        <f>B24*E6/1000</f>
        <v>24.842448627873949</v>
      </c>
      <c r="E24" s="147">
        <f>B24*E9/1000</f>
        <v>131.54875574584713</v>
      </c>
      <c r="F24" s="146">
        <f>'[2]прогнозный баланс'!B18</f>
        <v>53098.2163</v>
      </c>
      <c r="G24" s="147">
        <f>F24*E5/1000</f>
        <v>64.567431020800001</v>
      </c>
      <c r="H24" s="147">
        <f>F24*E6/1000</f>
        <v>18.159589974600003</v>
      </c>
      <c r="I24" s="147">
        <f>F24*E9/1000</f>
        <v>96.160869719299995</v>
      </c>
      <c r="J24" s="148">
        <f>J14</f>
        <v>86</v>
      </c>
      <c r="K24" s="149">
        <f>J24*E8/1000</f>
        <v>1016.436408</v>
      </c>
      <c r="L24" s="146">
        <f>E7*4/1000</f>
        <v>18.5136</v>
      </c>
      <c r="M24" s="147">
        <f>C24+G24</f>
        <v>152.89613725324068</v>
      </c>
      <c r="N24" s="147">
        <f>D24+H24+L24</f>
        <v>61.515638602473956</v>
      </c>
      <c r="O24" s="147">
        <f>E24+I24+K24</f>
        <v>1244.1460334651472</v>
      </c>
      <c r="P24" s="131">
        <v>0</v>
      </c>
      <c r="Q24" s="149"/>
      <c r="R24" s="149"/>
      <c r="S24" s="151">
        <f>M24+N24+O24+P24+Q24+R24</f>
        <v>1458.5578093208619</v>
      </c>
      <c r="T24" s="158">
        <v>18816.033628683235</v>
      </c>
      <c r="U24" s="159" t="e">
        <f>T24+#REF!</f>
        <v>#REF!</v>
      </c>
      <c r="V24" s="151">
        <f t="shared" si="0"/>
        <v>244.71991060616176</v>
      </c>
      <c r="W24" s="154">
        <f t="shared" si="1"/>
        <v>3.3689999999999996E-3</v>
      </c>
      <c r="X24" s="155"/>
      <c r="Y24" s="155"/>
      <c r="Z24" s="155"/>
      <c r="AA24" s="155"/>
    </row>
    <row r="25" spans="1:27" ht="15.75" thickBot="1">
      <c r="A25" s="160" t="s">
        <v>150</v>
      </c>
      <c r="B25" s="161">
        <f t="shared" ref="B25:I25" si="6">SUM(B22:B24)</f>
        <v>206061.57004808774</v>
      </c>
      <c r="C25" s="161">
        <f t="shared" si="6"/>
        <v>250.57086917847465</v>
      </c>
      <c r="D25" s="161">
        <f t="shared" si="6"/>
        <v>70.473056956446001</v>
      </c>
      <c r="E25" s="161">
        <f t="shared" si="6"/>
        <v>373.17750335708683</v>
      </c>
      <c r="F25" s="161">
        <f t="shared" si="6"/>
        <v>166498.29620000001</v>
      </c>
      <c r="G25" s="162">
        <f t="shared" si="6"/>
        <v>202.46192817919999</v>
      </c>
      <c r="H25" s="162">
        <f t="shared" si="6"/>
        <v>56.942417300400002</v>
      </c>
      <c r="I25" s="162">
        <f t="shared" si="6"/>
        <v>301.52841441819999</v>
      </c>
      <c r="J25" s="161">
        <f>SUM(J22:J24)/3</f>
        <v>86</v>
      </c>
      <c r="K25" s="163">
        <f t="shared" ref="K25:S25" si="7">SUM(K22:K24)</f>
        <v>3049.3092240000001</v>
      </c>
      <c r="L25" s="163">
        <f t="shared" si="7"/>
        <v>55.540800000000004</v>
      </c>
      <c r="M25" s="162">
        <f t="shared" si="7"/>
        <v>453.03279735767467</v>
      </c>
      <c r="N25" s="162">
        <f t="shared" si="7"/>
        <v>182.95627425684603</v>
      </c>
      <c r="O25" s="162">
        <f t="shared" si="7"/>
        <v>3724.0151417752868</v>
      </c>
      <c r="P25" s="164">
        <f t="shared" si="7"/>
        <v>372</v>
      </c>
      <c r="Q25" s="163">
        <f t="shared" si="7"/>
        <v>0</v>
      </c>
      <c r="R25" s="163">
        <f t="shared" si="7"/>
        <v>0</v>
      </c>
      <c r="S25" s="165">
        <f t="shared" si="7"/>
        <v>4732.0042133898078</v>
      </c>
      <c r="T25" s="166">
        <v>47202.113063293684</v>
      </c>
      <c r="U25" s="167" t="e">
        <f>T25+#REF!</f>
        <v>#REF!</v>
      </c>
      <c r="V25" s="165">
        <f t="shared" si="0"/>
        <v>694.22142949200747</v>
      </c>
      <c r="W25" s="154">
        <f t="shared" si="1"/>
        <v>3.3689999999999992E-3</v>
      </c>
      <c r="Y25" s="155"/>
      <c r="Z25" s="155"/>
      <c r="AA25" s="155"/>
    </row>
    <row r="26" spans="1:27">
      <c r="A26" s="128" t="s">
        <v>20</v>
      </c>
      <c r="B26" s="146">
        <f>'[2]прогнозный баланс'!J21+'[2]прогнозный баланс'!C21+'[2]прогнозный баланс'!D21</f>
        <v>80461.501852914662</v>
      </c>
      <c r="C26" s="147">
        <f>B26*E5/1000</f>
        <v>97.84118625314423</v>
      </c>
      <c r="D26" s="147">
        <f>B26*E6/1000</f>
        <v>27.517833633696817</v>
      </c>
      <c r="E26" s="147">
        <f>B26*E9/1000</f>
        <v>145.71577985562843</v>
      </c>
      <c r="F26" s="146">
        <f>'[2]прогнозный баланс'!B21</f>
        <v>34078.439700000003</v>
      </c>
      <c r="G26" s="147">
        <f>F26*E5/1000</f>
        <v>41.439382675200001</v>
      </c>
      <c r="H26" s="147">
        <f>F26*E6/1000</f>
        <v>11.654826377400003</v>
      </c>
      <c r="I26" s="147">
        <f>F26*E9/1000</f>
        <v>61.716054296700001</v>
      </c>
      <c r="J26" s="148">
        <f>J14</f>
        <v>86</v>
      </c>
      <c r="K26" s="149">
        <f>J26*E8/1000</f>
        <v>1016.436408</v>
      </c>
      <c r="L26" s="146">
        <f>E7*4/1000</f>
        <v>18.5136</v>
      </c>
      <c r="M26" s="147">
        <f>C26+G26</f>
        <v>139.28056892834422</v>
      </c>
      <c r="N26" s="147">
        <f>D26+H26+L26</f>
        <v>57.68626001109682</v>
      </c>
      <c r="O26" s="147">
        <f>E26+I26+K26</f>
        <v>1223.8682421523285</v>
      </c>
      <c r="P26" s="169">
        <f>E10/1000</f>
        <v>372</v>
      </c>
      <c r="Q26" s="149"/>
      <c r="R26" s="149"/>
      <c r="S26" s="151">
        <f>M26+N26+O26+P26+Q26+R26</f>
        <v>1792.8350710917696</v>
      </c>
      <c r="T26" s="156">
        <v>17232.523423000646</v>
      </c>
      <c r="U26" s="157" t="e">
        <f>T26+#REF!</f>
        <v>#REF!</v>
      </c>
      <c r="V26" s="151">
        <f>C26+D26+E26</f>
        <v>271.07479974246951</v>
      </c>
      <c r="W26" s="154">
        <f t="shared" si="1"/>
        <v>3.369E-3</v>
      </c>
      <c r="X26" s="155"/>
      <c r="Y26" s="155"/>
      <c r="Z26" s="155"/>
      <c r="AA26" s="155"/>
    </row>
    <row r="27" spans="1:27">
      <c r="A27" s="128" t="s">
        <v>21</v>
      </c>
      <c r="B27" s="146">
        <f>'[2]прогнозный баланс'!J22+'[2]прогнозный баланс'!C22+'[2]прогнозный баланс'!D22</f>
        <v>60915.835346592961</v>
      </c>
      <c r="C27" s="147">
        <f>B27*E5/1000</f>
        <v>74.073655781457035</v>
      </c>
      <c r="D27" s="147">
        <f>B27*E6/1000</f>
        <v>20.833215688534793</v>
      </c>
      <c r="E27" s="147">
        <f>B27*E9/1000</f>
        <v>110.31857781267985</v>
      </c>
      <c r="F27" s="146">
        <f>'[2]прогнозный баланс'!B22</f>
        <v>16489.9539</v>
      </c>
      <c r="G27" s="147">
        <f>F27*E5/1000</f>
        <v>20.0517839424</v>
      </c>
      <c r="H27" s="147">
        <f>F27*E6/1000</f>
        <v>5.6395642338000007</v>
      </c>
      <c r="I27" s="147">
        <f>F27*E9/1000</f>
        <v>29.863306512899999</v>
      </c>
      <c r="J27" s="148">
        <f>J14</f>
        <v>86</v>
      </c>
      <c r="K27" s="149">
        <f>J27*E8/1000</f>
        <v>1016.436408</v>
      </c>
      <c r="L27" s="146">
        <f>E7*4/1000</f>
        <v>18.5136</v>
      </c>
      <c r="M27" s="147">
        <f>C27+G27</f>
        <v>94.125439723857028</v>
      </c>
      <c r="N27" s="147">
        <f>D27+H27+L27</f>
        <v>44.986379922334791</v>
      </c>
      <c r="O27" s="147">
        <f>E27+I27+K27</f>
        <v>1156.6182923255799</v>
      </c>
      <c r="P27" s="131">
        <v>0</v>
      </c>
      <c r="Q27" s="149"/>
      <c r="R27" s="149"/>
      <c r="S27" s="151">
        <f>M27+N27+O27+P27+Q27+R27</f>
        <v>1295.7301119717717</v>
      </c>
      <c r="T27" s="156">
        <v>14360.436185833869</v>
      </c>
      <c r="U27" s="157" t="e">
        <f>T27+#REF!</f>
        <v>#REF!</v>
      </c>
      <c r="V27" s="151">
        <f t="shared" si="0"/>
        <v>205.22544928267166</v>
      </c>
      <c r="W27" s="154">
        <f t="shared" si="1"/>
        <v>3.3689999999999996E-3</v>
      </c>
      <c r="X27" s="155"/>
      <c r="Y27" s="155"/>
      <c r="Z27" s="155"/>
      <c r="AA27" s="155"/>
    </row>
    <row r="28" spans="1:27" ht="15.75" thickBot="1">
      <c r="A28" s="128" t="s">
        <v>22</v>
      </c>
      <c r="B28" s="146">
        <f>'[2]прогнозный баланс'!J23+'[2]прогнозный баланс'!C23+'[2]прогнозный баланс'!D23</f>
        <v>61122.216989613065</v>
      </c>
      <c r="C28" s="147">
        <f>B28*E5/1000</f>
        <v>74.324615859369487</v>
      </c>
      <c r="D28" s="147">
        <f>B28*E6/1000</f>
        <v>20.903798210447668</v>
      </c>
      <c r="E28" s="147">
        <f>B28*E9/1000</f>
        <v>110.69233496818926</v>
      </c>
      <c r="F28" s="146">
        <f>'[2]прогнозный баланс'!B23</f>
        <v>12758.623799999999</v>
      </c>
      <c r="G28" s="147">
        <f>F28*E5/1000</f>
        <v>15.514486540799998</v>
      </c>
      <c r="H28" s="147">
        <f>F28*E6/1000</f>
        <v>4.3634493395999998</v>
      </c>
      <c r="I28" s="147">
        <f>F28*E9/1000</f>
        <v>23.105867701799998</v>
      </c>
      <c r="J28" s="148">
        <f>J14</f>
        <v>86</v>
      </c>
      <c r="K28" s="149">
        <f>J28*E8/1000</f>
        <v>1016.436408</v>
      </c>
      <c r="L28" s="146">
        <f>E7*4/1000</f>
        <v>18.5136</v>
      </c>
      <c r="M28" s="147">
        <f>C28+G28</f>
        <v>89.83910240016948</v>
      </c>
      <c r="N28" s="147">
        <f>D28+H28+L28</f>
        <v>43.780847550047667</v>
      </c>
      <c r="O28" s="147">
        <f>E28+I28+K28</f>
        <v>1150.2346106699893</v>
      </c>
      <c r="P28" s="131">
        <v>0</v>
      </c>
      <c r="Q28" s="149"/>
      <c r="R28" s="149"/>
      <c r="S28" s="151">
        <f>M28+N28+O28+P28+Q28+R28</f>
        <v>1283.8545606202065</v>
      </c>
      <c r="T28" s="170">
        <v>12001.464492354664</v>
      </c>
      <c r="U28" s="171" t="e">
        <f>T28+#REF!</f>
        <v>#REF!</v>
      </c>
      <c r="V28" s="151">
        <f t="shared" si="0"/>
        <v>205.92074903800642</v>
      </c>
      <c r="W28" s="154">
        <f t="shared" si="1"/>
        <v>3.369E-3</v>
      </c>
      <c r="X28" s="155"/>
      <c r="Y28" s="155"/>
      <c r="Z28" s="155"/>
      <c r="AA28" s="155"/>
    </row>
    <row r="29" spans="1:27" ht="15.75" thickBot="1">
      <c r="A29" s="160" t="s">
        <v>151</v>
      </c>
      <c r="B29" s="161">
        <f t="shared" ref="B29:I29" si="8">SUM(B26:B28)</f>
        <v>202499.55418912071</v>
      </c>
      <c r="C29" s="161">
        <f t="shared" si="8"/>
        <v>246.23945789397075</v>
      </c>
      <c r="D29" s="161">
        <f t="shared" si="8"/>
        <v>69.254847532679278</v>
      </c>
      <c r="E29" s="161">
        <f t="shared" si="8"/>
        <v>366.72669263649755</v>
      </c>
      <c r="F29" s="161">
        <f t="shared" si="8"/>
        <v>63327.017400000004</v>
      </c>
      <c r="G29" s="161">
        <f t="shared" si="8"/>
        <v>77.005653158399994</v>
      </c>
      <c r="H29" s="161">
        <f t="shared" si="8"/>
        <v>21.657839950800003</v>
      </c>
      <c r="I29" s="161">
        <f t="shared" si="8"/>
        <v>114.6852285114</v>
      </c>
      <c r="J29" s="161">
        <f>SUM(J26:J28)/3</f>
        <v>86</v>
      </c>
      <c r="K29" s="163">
        <f t="shared" ref="K29:S29" si="9">SUM(K26:K28)</f>
        <v>3049.3092240000001</v>
      </c>
      <c r="L29" s="163">
        <f t="shared" si="9"/>
        <v>55.540800000000004</v>
      </c>
      <c r="M29" s="161">
        <f t="shared" si="9"/>
        <v>323.2451110523707</v>
      </c>
      <c r="N29" s="161">
        <f t="shared" si="9"/>
        <v>146.45348748347928</v>
      </c>
      <c r="O29" s="161">
        <f t="shared" si="9"/>
        <v>3530.7211451478975</v>
      </c>
      <c r="P29" s="172">
        <f t="shared" si="9"/>
        <v>372</v>
      </c>
      <c r="Q29" s="163">
        <f t="shared" si="9"/>
        <v>0</v>
      </c>
      <c r="R29" s="163">
        <f t="shared" si="9"/>
        <v>0</v>
      </c>
      <c r="S29" s="165">
        <f t="shared" si="9"/>
        <v>4372.4197436837476</v>
      </c>
      <c r="T29" s="173">
        <v>43594.424101189179</v>
      </c>
      <c r="U29" s="174" t="e">
        <f>T29+#REF!</f>
        <v>#REF!</v>
      </c>
      <c r="V29" s="165">
        <f t="shared" si="0"/>
        <v>682.22099806314759</v>
      </c>
      <c r="W29" s="154">
        <f t="shared" si="1"/>
        <v>3.3689999999999996E-3</v>
      </c>
      <c r="Y29" s="155"/>
      <c r="Z29" s="155"/>
      <c r="AA29" s="155"/>
    </row>
    <row r="30" spans="1:27" ht="15.75" thickBot="1">
      <c r="A30" s="160" t="s">
        <v>152</v>
      </c>
      <c r="B30" s="175">
        <f>B17+B21+B25+B29</f>
        <v>765603.75086835329</v>
      </c>
      <c r="C30" s="175">
        <f t="shared" ref="C30:I30" si="10">C17+C21+C25+C29</f>
        <v>890.6283442465982</v>
      </c>
      <c r="D30" s="175">
        <f t="shared" si="10"/>
        <v>250.4111187447802</v>
      </c>
      <c r="E30" s="175">
        <f t="shared" si="10"/>
        <v>1326.5252315485554</v>
      </c>
      <c r="F30" s="175">
        <f t="shared" si="10"/>
        <v>362941.49470000004</v>
      </c>
      <c r="G30" s="175">
        <f t="shared" si="10"/>
        <v>426.29472909089992</v>
      </c>
      <c r="H30" s="175">
        <f t="shared" si="10"/>
        <v>119.86627339220001</v>
      </c>
      <c r="I30" s="175">
        <f t="shared" si="10"/>
        <v>634.92352847689995</v>
      </c>
      <c r="J30" s="175">
        <f>(J17+J21+J25+J29)/4</f>
        <v>86</v>
      </c>
      <c r="K30" s="175">
        <f t="shared" ref="K30:S30" si="11">K17+K21+K25+K29</f>
        <v>11632.755084</v>
      </c>
      <c r="L30" s="175">
        <f t="shared" si="11"/>
        <v>211.88159999999999</v>
      </c>
      <c r="M30" s="175">
        <f t="shared" si="11"/>
        <v>1316.9230733374982</v>
      </c>
      <c r="N30" s="175">
        <f t="shared" si="11"/>
        <v>582.15899213698026</v>
      </c>
      <c r="O30" s="175">
        <f t="shared" si="11"/>
        <v>13594.203844025455</v>
      </c>
      <c r="P30" s="175">
        <f t="shared" si="11"/>
        <v>1488</v>
      </c>
      <c r="Q30" s="175">
        <f t="shared" si="11"/>
        <v>0</v>
      </c>
      <c r="R30" s="175">
        <f t="shared" si="11"/>
        <v>0</v>
      </c>
      <c r="S30" s="176">
        <f t="shared" si="11"/>
        <v>16981.285909499937</v>
      </c>
      <c r="T30" s="166">
        <v>168862.93856706499</v>
      </c>
      <c r="U30" s="167" t="e">
        <f>T30+#REF!</f>
        <v>#REF!</v>
      </c>
      <c r="V30" s="176">
        <f>C30+D30+E30</f>
        <v>2467.564694539934</v>
      </c>
      <c r="W30" s="154">
        <f t="shared" si="1"/>
        <v>3.2230310937494812E-3</v>
      </c>
      <c r="X30" s="168"/>
      <c r="Y30" s="155"/>
      <c r="Z30" s="155"/>
      <c r="AA30" s="155"/>
    </row>
    <row r="31" spans="1:27">
      <c r="M31" s="168"/>
      <c r="N31" s="168"/>
      <c r="O31" s="168"/>
    </row>
    <row r="32" spans="1:27">
      <c r="E32" s="168"/>
      <c r="F32" s="168"/>
      <c r="I32" s="168"/>
      <c r="N32" s="168"/>
      <c r="O32" s="168"/>
      <c r="Q32" s="168"/>
      <c r="S32" s="177"/>
    </row>
    <row r="33" spans="4:16" ht="15.75">
      <c r="D33" s="178"/>
      <c r="M33" s="168"/>
    </row>
    <row r="34" spans="4:16" ht="15.75">
      <c r="E34" s="179"/>
      <c r="M34" s="168"/>
      <c r="P34" s="179"/>
    </row>
  </sheetData>
  <mergeCells count="13">
    <mergeCell ref="V12:V13"/>
    <mergeCell ref="A2:N2"/>
    <mergeCell ref="D5:D10"/>
    <mergeCell ref="A11:O11"/>
    <mergeCell ref="B12:E12"/>
    <mergeCell ref="F12:I12"/>
    <mergeCell ref="J12:K12"/>
    <mergeCell ref="M12:O12"/>
    <mergeCell ref="P12:P13"/>
    <mergeCell ref="Q12:Q13"/>
    <mergeCell ref="R12:R13"/>
    <mergeCell ref="S12:S13"/>
    <mergeCell ref="T12:U12"/>
  </mergeCells>
  <hyperlinks>
    <hyperlink ref="A5" r:id="rId1"/>
    <hyperlink ref="A6" r:id="rId2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zoomScale="80" zoomScaleNormal="80" workbookViewId="0">
      <selection activeCell="C40" sqref="C40"/>
    </sheetView>
  </sheetViews>
  <sheetFormatPr defaultRowHeight="15"/>
  <cols>
    <col min="1" max="1" width="11.7109375" customWidth="1"/>
    <col min="2" max="2" width="6.28515625" customWidth="1"/>
    <col min="3" max="5" width="14.7109375" customWidth="1"/>
    <col min="6" max="6" width="15.5703125" customWidth="1"/>
    <col min="7" max="7" width="13.7109375" customWidth="1"/>
    <col min="8" max="8" width="14.140625" customWidth="1"/>
    <col min="9" max="9" width="14.7109375" customWidth="1"/>
    <col min="10" max="10" width="15.5703125" customWidth="1"/>
    <col min="11" max="12" width="14" customWidth="1"/>
    <col min="13" max="13" width="14.7109375" customWidth="1"/>
    <col min="14" max="14" width="15.28515625" customWidth="1"/>
    <col min="15" max="17" width="14.7109375" customWidth="1"/>
    <col min="18" max="18" width="15.7109375" bestFit="1" customWidth="1"/>
    <col min="19" max="19" width="16.85546875" bestFit="1" customWidth="1"/>
  </cols>
  <sheetData>
    <row r="2" spans="1:19" ht="15.75" thickBot="1"/>
    <row r="3" spans="1:19" ht="15.75" thickBot="1">
      <c r="A3" s="952" t="s">
        <v>185</v>
      </c>
      <c r="B3" s="953"/>
      <c r="C3" s="254" t="s">
        <v>11</v>
      </c>
      <c r="D3" s="254" t="s">
        <v>12</v>
      </c>
      <c r="E3" s="254" t="s">
        <v>13</v>
      </c>
      <c r="F3" s="254" t="s">
        <v>186</v>
      </c>
      <c r="G3" s="254" t="s">
        <v>14</v>
      </c>
      <c r="H3" s="254" t="s">
        <v>15</v>
      </c>
      <c r="I3" s="254" t="s">
        <v>16</v>
      </c>
      <c r="J3" s="254" t="s">
        <v>187</v>
      </c>
      <c r="K3" s="254" t="s">
        <v>17</v>
      </c>
      <c r="L3" s="254" t="s">
        <v>18</v>
      </c>
      <c r="M3" s="254" t="s">
        <v>19</v>
      </c>
      <c r="N3" s="254" t="s">
        <v>188</v>
      </c>
      <c r="O3" s="254" t="s">
        <v>20</v>
      </c>
      <c r="P3" s="254" t="s">
        <v>21</v>
      </c>
      <c r="Q3" s="254" t="s">
        <v>22</v>
      </c>
      <c r="R3" s="254" t="s">
        <v>189</v>
      </c>
      <c r="S3" s="255" t="s">
        <v>113</v>
      </c>
    </row>
    <row r="4" spans="1:19">
      <c r="A4" s="954" t="s">
        <v>190</v>
      </c>
      <c r="B4" s="256" t="s">
        <v>2</v>
      </c>
      <c r="C4" s="257">
        <v>25.354971311677424</v>
      </c>
      <c r="D4" s="258">
        <v>24.728527788481415</v>
      </c>
      <c r="E4" s="259">
        <v>21.280669844211538</v>
      </c>
      <c r="F4" s="260">
        <f>AVERAGE(C4:E4)</f>
        <v>23.788056314790126</v>
      </c>
      <c r="G4" s="259">
        <v>25.273496718666681</v>
      </c>
      <c r="H4" s="259">
        <v>25.350817279419331</v>
      </c>
      <c r="I4" s="261">
        <v>27.074318699222225</v>
      </c>
      <c r="J4" s="260">
        <f>AVERAGE(G4:I4)</f>
        <v>25.899544232436075</v>
      </c>
      <c r="K4" s="262">
        <v>25.388112615440853</v>
      </c>
      <c r="L4" s="263">
        <v>26.591854913827952</v>
      </c>
      <c r="M4" s="262">
        <v>27.435752296444441</v>
      </c>
      <c r="N4" s="260">
        <f>AVERAGE(K4:M4)</f>
        <v>26.471906608571079</v>
      </c>
      <c r="O4" s="264">
        <v>24.251456123505374</v>
      </c>
      <c r="P4" s="262">
        <v>25.005941268666668</v>
      </c>
      <c r="Q4" s="262">
        <v>25.090475612752684</v>
      </c>
      <c r="R4" s="260">
        <f>AVERAGE(O4:Q4)</f>
        <v>24.782624334974908</v>
      </c>
      <c r="S4" s="265">
        <f>AVERAGE(F4,J4,N4,R4)</f>
        <v>25.235532872693046</v>
      </c>
    </row>
    <row r="5" spans="1:19">
      <c r="A5" s="955"/>
      <c r="B5" s="266" t="s">
        <v>80</v>
      </c>
      <c r="C5" s="267">
        <v>4.493788562096765</v>
      </c>
      <c r="D5" s="268">
        <v>5.314643924901409</v>
      </c>
      <c r="E5" s="269">
        <v>6.8767742824105724</v>
      </c>
      <c r="F5" s="270">
        <f>AVERAGE(C5:E5)</f>
        <v>5.5617355898029155</v>
      </c>
      <c r="G5" s="269">
        <v>10.988271216300493</v>
      </c>
      <c r="H5" s="269">
        <v>14.037479993378813</v>
      </c>
      <c r="I5" s="271">
        <v>14.28984447307924</v>
      </c>
      <c r="J5" s="270">
        <f t="shared" ref="J5:J22" si="0">AVERAGE(G5:I5)</f>
        <v>13.105198560919517</v>
      </c>
      <c r="K5" s="272">
        <v>15.322943467741938</v>
      </c>
      <c r="L5" s="273">
        <v>15.438810981182799</v>
      </c>
      <c r="M5" s="272">
        <v>17.120563777777779</v>
      </c>
      <c r="N5" s="270">
        <f>AVERAGE(K5:M5)</f>
        <v>15.960772742234171</v>
      </c>
      <c r="O5" s="272">
        <v>17.367343131720428</v>
      </c>
      <c r="P5" s="272">
        <v>8.4796623055555571</v>
      </c>
      <c r="Q5" s="272">
        <v>5.1607088440860212</v>
      </c>
      <c r="R5" s="270">
        <f>AVERAGE(O5:Q5)</f>
        <v>10.335904760454001</v>
      </c>
      <c r="S5" s="274">
        <f>AVERAGE(F5,J5,N5,R5)</f>
        <v>11.240902913352651</v>
      </c>
    </row>
    <row r="6" spans="1:19">
      <c r="A6" s="955"/>
      <c r="B6" s="266" t="s">
        <v>81</v>
      </c>
      <c r="C6" s="267">
        <v>0.97244367446236557</v>
      </c>
      <c r="D6" s="268">
        <v>1.0099709501436782</v>
      </c>
      <c r="E6" s="269">
        <v>0.77407620631720431</v>
      </c>
      <c r="F6" s="270">
        <f>AVERAGE(C6:E6)</f>
        <v>0.91883027697441599</v>
      </c>
      <c r="G6" s="269">
        <v>0.7125769993055554</v>
      </c>
      <c r="H6" s="269">
        <v>0.5111284718867628</v>
      </c>
      <c r="I6" s="271">
        <v>0.37547564444444459</v>
      </c>
      <c r="J6" s="270">
        <f t="shared" si="0"/>
        <v>0.53306037187892097</v>
      </c>
      <c r="K6" s="272">
        <v>0.32806581989247308</v>
      </c>
      <c r="L6" s="273">
        <v>0.36187486559139792</v>
      </c>
      <c r="M6" s="272">
        <v>0.53421616666666671</v>
      </c>
      <c r="N6" s="270">
        <f>AVERAGE(K6:M6)</f>
        <v>0.40805228405017924</v>
      </c>
      <c r="O6" s="272">
        <v>0.74595318548387102</v>
      </c>
      <c r="P6" s="272">
        <v>0.86693491666666667</v>
      </c>
      <c r="Q6" s="272">
        <v>1.0517058198924734</v>
      </c>
      <c r="R6" s="270">
        <f>AVERAGE(O6:Q6)</f>
        <v>0.88819797401433698</v>
      </c>
      <c r="S6" s="274">
        <f>AVERAGE(F6,J6,N6,R6)</f>
        <v>0.68703522672946327</v>
      </c>
    </row>
    <row r="7" spans="1:19">
      <c r="A7" s="955"/>
      <c r="B7" s="266" t="s">
        <v>5</v>
      </c>
      <c r="C7" s="275">
        <v>0.19105975134408604</v>
      </c>
      <c r="D7" s="268">
        <v>0.34722961494252852</v>
      </c>
      <c r="E7" s="269">
        <v>0.26074323709677427</v>
      </c>
      <c r="F7" s="270">
        <f>AVERAGE(C7:E7)</f>
        <v>0.26634420112779628</v>
      </c>
      <c r="G7" s="269">
        <v>0.1451404433194444</v>
      </c>
      <c r="H7" s="269">
        <v>8.4707254314516131E-2</v>
      </c>
      <c r="I7" s="271">
        <v>7.8361749999999994E-2</v>
      </c>
      <c r="J7" s="270">
        <f t="shared" si="0"/>
        <v>0.10273648254465351</v>
      </c>
      <c r="K7" s="272">
        <v>4.7634892473118279E-2</v>
      </c>
      <c r="L7" s="273">
        <v>7.023629032258065E-2</v>
      </c>
      <c r="M7" s="272">
        <v>0.10357786111111111</v>
      </c>
      <c r="N7" s="270">
        <f>AVERAGE(K7:M7)</f>
        <v>7.3816347968936671E-2</v>
      </c>
      <c r="O7" s="276">
        <v>0.23380291666666664</v>
      </c>
      <c r="P7" s="272">
        <v>0.10204169444444446</v>
      </c>
      <c r="Q7" s="272">
        <v>0.19219748655913976</v>
      </c>
      <c r="R7" s="270">
        <f>AVERAGE(O7:Q7)</f>
        <v>0.1760140325567503</v>
      </c>
      <c r="S7" s="274">
        <f>AVERAGE(F7,J7,N7,R7)</f>
        <v>0.1547277660495342</v>
      </c>
    </row>
    <row r="8" spans="1:19" ht="15.75" thickBot="1">
      <c r="A8" s="277"/>
      <c r="B8" s="278"/>
      <c r="C8" s="279"/>
      <c r="D8" s="280"/>
      <c r="E8" s="279"/>
      <c r="F8" s="281"/>
      <c r="G8" s="279"/>
      <c r="H8" s="279"/>
      <c r="I8" s="282"/>
      <c r="J8" s="281"/>
      <c r="K8" s="283"/>
      <c r="L8" s="284"/>
      <c r="M8" s="283"/>
      <c r="N8" s="281"/>
      <c r="O8" s="283"/>
      <c r="P8" s="283"/>
      <c r="Q8" s="283"/>
      <c r="R8" s="281"/>
      <c r="S8" s="285"/>
    </row>
    <row r="9" spans="1:19">
      <c r="A9" s="954" t="s">
        <v>158</v>
      </c>
      <c r="B9" s="256" t="s">
        <v>2</v>
      </c>
      <c r="C9" s="286">
        <v>5.7623243974462373</v>
      </c>
      <c r="D9" s="258">
        <v>5.9965963179597797</v>
      </c>
      <c r="E9" s="259">
        <v>8.1950058367473133</v>
      </c>
      <c r="F9" s="260">
        <f>AVERAGE(C9:E9)</f>
        <v>6.6513088507177764</v>
      </c>
      <c r="G9" s="259">
        <v>9.3776300748610986</v>
      </c>
      <c r="H9" s="259">
        <v>10.971763252419352</v>
      </c>
      <c r="I9" s="261">
        <v>12.474012402777776</v>
      </c>
      <c r="J9" s="260">
        <f t="shared" si="0"/>
        <v>10.941135243352742</v>
      </c>
      <c r="K9" s="262">
        <v>13.272226720430107</v>
      </c>
      <c r="L9" s="263">
        <v>13.805320188172045</v>
      </c>
      <c r="M9" s="262">
        <v>14.489192791666667</v>
      </c>
      <c r="N9" s="260">
        <f>AVERAGE(K9:M9)</f>
        <v>13.855579900089607</v>
      </c>
      <c r="O9" s="262">
        <v>13.351946357526881</v>
      </c>
      <c r="P9" s="262">
        <v>8.9096056111111093</v>
      </c>
      <c r="Q9" s="262">
        <v>5.4602847715053766</v>
      </c>
      <c r="R9" s="260">
        <f>AVERAGE(O9:Q9)</f>
        <v>9.2406122467144556</v>
      </c>
      <c r="S9" s="265">
        <f>AVERAGE(F9,J9,N9,R9)</f>
        <v>10.172159060218645</v>
      </c>
    </row>
    <row r="10" spans="1:19">
      <c r="A10" s="955"/>
      <c r="B10" s="266" t="s">
        <v>80</v>
      </c>
      <c r="C10" s="267">
        <v>2.5896425887096761</v>
      </c>
      <c r="D10" s="268">
        <v>2.8442759928160912</v>
      </c>
      <c r="E10" s="269">
        <v>4.4368558715053794</v>
      </c>
      <c r="F10" s="270">
        <f>AVERAGE(C10:E10)</f>
        <v>3.2902581510103821</v>
      </c>
      <c r="G10" s="269">
        <v>6.5727259388888877</v>
      </c>
      <c r="H10" s="269">
        <v>10.339683789174703</v>
      </c>
      <c r="I10" s="271">
        <v>10.441613055555555</v>
      </c>
      <c r="J10" s="270">
        <f t="shared" si="0"/>
        <v>9.1180075945397139</v>
      </c>
      <c r="K10" s="272">
        <v>15.617846962365592</v>
      </c>
      <c r="L10" s="273">
        <v>14.222885712365592</v>
      </c>
      <c r="M10" s="272">
        <v>17.087373430555559</v>
      </c>
      <c r="N10" s="270">
        <f>AVERAGE(K10:M10)</f>
        <v>15.642702035095581</v>
      </c>
      <c r="O10" s="272">
        <v>18.649113198924731</v>
      </c>
      <c r="P10" s="272">
        <v>7.100586625</v>
      </c>
      <c r="Q10" s="272">
        <v>3.6534169758064508</v>
      </c>
      <c r="R10" s="270">
        <f>AVERAGE(O10:Q10)</f>
        <v>9.801038933243726</v>
      </c>
      <c r="S10" s="274">
        <f>AVERAGE(F10,J10,N10,R10)</f>
        <v>9.4630016784723505</v>
      </c>
    </row>
    <row r="11" spans="1:19">
      <c r="A11" s="955"/>
      <c r="B11" s="266" t="s">
        <v>81</v>
      </c>
      <c r="C11" s="267">
        <v>4.4630120394139761</v>
      </c>
      <c r="D11" s="268">
        <v>4.5078674135687029</v>
      </c>
      <c r="E11" s="269">
        <v>4.535141680670427</v>
      </c>
      <c r="F11" s="270">
        <f>AVERAGE(C11:E11)</f>
        <v>4.5020070445510356</v>
      </c>
      <c r="G11" s="269">
        <v>4.1959613014955597</v>
      </c>
      <c r="H11" s="269">
        <v>3.3662868883125951</v>
      </c>
      <c r="I11" s="271">
        <v>1.7742916895833323</v>
      </c>
      <c r="J11" s="270">
        <f t="shared" si="0"/>
        <v>3.1121799597971624</v>
      </c>
      <c r="K11" s="272">
        <v>1.7010586290322585</v>
      </c>
      <c r="L11" s="273">
        <v>1.7833785618279567</v>
      </c>
      <c r="M11" s="272">
        <v>3.1179250000000001</v>
      </c>
      <c r="N11" s="270">
        <f>AVERAGE(K11:M11)</f>
        <v>2.2007873969534053</v>
      </c>
      <c r="O11" s="272">
        <v>4.2318914919354835</v>
      </c>
      <c r="P11" s="272">
        <v>4.3719366388888883</v>
      </c>
      <c r="Q11" s="272">
        <v>5.3361132258064501</v>
      </c>
      <c r="R11" s="270">
        <f>AVERAGE(O11:Q11)</f>
        <v>4.6466471188769409</v>
      </c>
      <c r="S11" s="274">
        <f>AVERAGE(F11,J11,N11,R11)</f>
        <v>3.6154053800446357</v>
      </c>
    </row>
    <row r="12" spans="1:19" ht="18.75" customHeight="1" thickBot="1">
      <c r="A12" s="955"/>
      <c r="B12" s="287" t="s">
        <v>5</v>
      </c>
      <c r="C12" s="288">
        <v>1.2012376837701617</v>
      </c>
      <c r="D12" s="289">
        <v>1.1258869368936779</v>
      </c>
      <c r="E12" s="288">
        <v>1.0179224310510755</v>
      </c>
      <c r="F12" s="290">
        <f>AVERAGE(C12:E12)</f>
        <v>1.1150156839049716</v>
      </c>
      <c r="G12" s="288">
        <v>0.95383865247222166</v>
      </c>
      <c r="H12" s="288">
        <v>0.69212690214381767</v>
      </c>
      <c r="I12" s="291">
        <v>0.19141109222222219</v>
      </c>
      <c r="J12" s="290">
        <f t="shared" si="0"/>
        <v>0.61245888227942047</v>
      </c>
      <c r="K12" s="292">
        <v>0.71594217741935484</v>
      </c>
      <c r="L12" s="293">
        <v>0.19022643817204296</v>
      </c>
      <c r="M12" s="292">
        <v>0.54017912499999998</v>
      </c>
      <c r="N12" s="290">
        <f>AVERAGE(K12:M12)</f>
        <v>0.48211591353046596</v>
      </c>
      <c r="O12" s="292">
        <v>0.74074529569892478</v>
      </c>
      <c r="P12" s="292">
        <v>0.99150605555555571</v>
      </c>
      <c r="Q12" s="292">
        <v>1.0781434543010755</v>
      </c>
      <c r="R12" s="290">
        <f>AVERAGE(O12:Q12)</f>
        <v>0.93679826851851866</v>
      </c>
      <c r="S12" s="294">
        <f>AVERAGE(F12,J12,N12,R12)</f>
        <v>0.78659718705834414</v>
      </c>
    </row>
    <row r="13" spans="1:19" ht="15.75" thickBot="1">
      <c r="A13" s="295" t="s">
        <v>180</v>
      </c>
      <c r="B13" s="296"/>
      <c r="C13" s="297">
        <f>SUM(C4:C12)</f>
        <v>45.028480008920688</v>
      </c>
      <c r="D13" s="297">
        <f t="shared" ref="D13:R13" si="1">SUM(D4:D12)</f>
        <v>45.874998939707289</v>
      </c>
      <c r="E13" s="297">
        <f t="shared" si="1"/>
        <v>47.377189390010287</v>
      </c>
      <c r="F13" s="297">
        <f t="shared" si="1"/>
        <v>46.093556112879419</v>
      </c>
      <c r="G13" s="297">
        <f t="shared" si="1"/>
        <v>58.219641345309938</v>
      </c>
      <c r="H13" s="297">
        <f t="shared" si="1"/>
        <v>65.353993831049891</v>
      </c>
      <c r="I13" s="297">
        <f t="shared" si="1"/>
        <v>66.699328806884793</v>
      </c>
      <c r="J13" s="297">
        <f t="shared" si="1"/>
        <v>63.424321327748196</v>
      </c>
      <c r="K13" s="297">
        <f t="shared" si="1"/>
        <v>72.393831284795695</v>
      </c>
      <c r="L13" s="297">
        <f t="shared" si="1"/>
        <v>72.464587951462377</v>
      </c>
      <c r="M13" s="297">
        <f t="shared" si="1"/>
        <v>80.428780449222216</v>
      </c>
      <c r="N13" s="297">
        <f t="shared" si="1"/>
        <v>75.095733228493415</v>
      </c>
      <c r="O13" s="297">
        <f t="shared" si="1"/>
        <v>79.572251701462378</v>
      </c>
      <c r="P13" s="297">
        <f t="shared" si="1"/>
        <v>55.828215115888888</v>
      </c>
      <c r="Q13" s="297">
        <f t="shared" si="1"/>
        <v>47.023046190709671</v>
      </c>
      <c r="R13" s="297">
        <f t="shared" si="1"/>
        <v>60.807837669353638</v>
      </c>
      <c r="S13" s="298"/>
    </row>
    <row r="14" spans="1:19">
      <c r="A14" s="954" t="s">
        <v>191</v>
      </c>
      <c r="B14" s="256" t="s">
        <v>2</v>
      </c>
      <c r="C14" s="286">
        <v>0.45519208333333333</v>
      </c>
      <c r="D14" s="258">
        <v>0.37156359195402278</v>
      </c>
      <c r="E14" s="259">
        <v>0.27663991935483884</v>
      </c>
      <c r="F14" s="260">
        <f>AVERAGE(C14:E14)</f>
        <v>0.36779853154739833</v>
      </c>
      <c r="G14" s="259">
        <v>0.14078745833333317</v>
      </c>
      <c r="H14" s="259">
        <v>8.2640779569892575E-2</v>
      </c>
      <c r="I14" s="261">
        <v>3.1840611111111097E-2</v>
      </c>
      <c r="J14" s="260">
        <f t="shared" si="0"/>
        <v>8.5089616338112281E-2</v>
      </c>
      <c r="K14" s="262">
        <v>2.8127379032258433E-2</v>
      </c>
      <c r="L14" s="263">
        <v>3.2563723118279202E-2</v>
      </c>
      <c r="M14" s="262">
        <v>8.2518847222222219E-2</v>
      </c>
      <c r="N14" s="260">
        <f>AVERAGE(K14:M14)</f>
        <v>4.7736649790919954E-2</v>
      </c>
      <c r="O14" s="262">
        <v>0.17870099462365588</v>
      </c>
      <c r="P14" s="262">
        <v>0.27949788888888877</v>
      </c>
      <c r="Q14" s="262">
        <v>0.29542983870967748</v>
      </c>
      <c r="R14" s="260">
        <f>AVERAGE(O14:Q14)</f>
        <v>0.25120957407407407</v>
      </c>
      <c r="S14" s="265">
        <f>AVERAGE(F14,J14,N14,R14)</f>
        <v>0.18795859293762615</v>
      </c>
    </row>
    <row r="15" spans="1:19">
      <c r="A15" s="955"/>
      <c r="B15" s="266" t="s">
        <v>80</v>
      </c>
      <c r="C15" s="267">
        <v>0.26690222580645234</v>
      </c>
      <c r="D15" s="268">
        <v>0.26319226149425223</v>
      </c>
      <c r="E15" s="269">
        <v>0.28183083602150577</v>
      </c>
      <c r="F15" s="270">
        <f>AVERAGE(C15:E15)</f>
        <v>0.27064177444073678</v>
      </c>
      <c r="G15" s="269">
        <v>0.29178408055555533</v>
      </c>
      <c r="H15" s="269">
        <v>0.61289381720430103</v>
      </c>
      <c r="I15" s="271">
        <v>0.76677240277777781</v>
      </c>
      <c r="J15" s="270">
        <f t="shared" si="0"/>
        <v>0.5571501001792114</v>
      </c>
      <c r="K15" s="272">
        <v>0.18700469623655835</v>
      </c>
      <c r="L15" s="273">
        <v>0.4780427620967746</v>
      </c>
      <c r="M15" s="272">
        <v>0.31864259722222216</v>
      </c>
      <c r="N15" s="270">
        <f>AVERAGE(K15:M15)</f>
        <v>0.32789668518518506</v>
      </c>
      <c r="O15" s="272">
        <v>0.49053927419354842</v>
      </c>
      <c r="P15" s="272">
        <v>0.36451209722222233</v>
      </c>
      <c r="Q15" s="272">
        <v>0.18386450268817203</v>
      </c>
      <c r="R15" s="270">
        <f>AVERAGE(O15:Q15)</f>
        <v>0.34630529136798094</v>
      </c>
      <c r="S15" s="274">
        <f>AVERAGE(F15,J15,N15,R15)</f>
        <v>0.37549846279327853</v>
      </c>
    </row>
    <row r="16" spans="1:19">
      <c r="A16" s="955"/>
      <c r="B16" s="266" t="s">
        <v>81</v>
      </c>
      <c r="C16" s="267">
        <v>2.0117496944102151</v>
      </c>
      <c r="D16" s="268">
        <v>2.0639341440201151</v>
      </c>
      <c r="E16" s="269">
        <v>1.4888498891438171</v>
      </c>
      <c r="F16" s="270">
        <f>AVERAGE(C16:E16)</f>
        <v>1.8548445758580492</v>
      </c>
      <c r="G16" s="269">
        <v>1.2609601459240283</v>
      </c>
      <c r="H16" s="269">
        <v>0.91506578483736534</v>
      </c>
      <c r="I16" s="271">
        <v>0.71976853188888901</v>
      </c>
      <c r="J16" s="270">
        <f t="shared" si="0"/>
        <v>0.96526482088342747</v>
      </c>
      <c r="K16" s="272">
        <v>0.8611193795698926</v>
      </c>
      <c r="L16" s="273">
        <v>0.8005472748655913</v>
      </c>
      <c r="M16" s="272">
        <v>1.0621694070833334</v>
      </c>
      <c r="N16" s="270">
        <f>AVERAGE(K16:M16)</f>
        <v>0.90794535383960573</v>
      </c>
      <c r="O16" s="272">
        <v>1.7459382459677419</v>
      </c>
      <c r="P16" s="272">
        <v>1.7660212088944442</v>
      </c>
      <c r="Q16" s="272">
        <v>1.6773995310111827</v>
      </c>
      <c r="R16" s="270">
        <f>AVERAGE(O16:Q16)</f>
        <v>1.7297863286244564</v>
      </c>
      <c r="S16" s="274">
        <f>AVERAGE(F16,J16,N16,R16)</f>
        <v>1.3644602698013846</v>
      </c>
    </row>
    <row r="17" spans="1:19" ht="15.75" thickBot="1">
      <c r="A17" s="955"/>
      <c r="B17" s="299" t="s">
        <v>5</v>
      </c>
      <c r="C17" s="269">
        <v>1.3263074731182796</v>
      </c>
      <c r="D17" s="268">
        <v>1.3648532758620695</v>
      </c>
      <c r="E17" s="269">
        <v>1.0667369758064513</v>
      </c>
      <c r="F17" s="270">
        <f>AVERAGE(C17:E17)</f>
        <v>1.2526325749289333</v>
      </c>
      <c r="G17" s="269">
        <v>1.0677025416666668</v>
      </c>
      <c r="H17" s="269">
        <v>0.8115175537634407</v>
      </c>
      <c r="I17" s="271">
        <v>0.52028479166666664</v>
      </c>
      <c r="J17" s="270">
        <f t="shared" si="0"/>
        <v>0.79983496236559137</v>
      </c>
      <c r="K17" s="272">
        <v>0.47060189516129042</v>
      </c>
      <c r="L17" s="273">
        <v>0.54481477150537638</v>
      </c>
      <c r="M17" s="272">
        <v>0.72956808333333345</v>
      </c>
      <c r="N17" s="270">
        <f>AVERAGE(K17:M17)</f>
        <v>0.58166158333333351</v>
      </c>
      <c r="O17" s="272">
        <v>0.90083770161290311</v>
      </c>
      <c r="P17" s="272">
        <v>1.1770579166666666</v>
      </c>
      <c r="Q17" s="272">
        <v>1.152671061827957</v>
      </c>
      <c r="R17" s="270">
        <f>AVERAGE(O17:Q17)</f>
        <v>1.076855560035842</v>
      </c>
      <c r="S17" s="274">
        <f>AVERAGE(F17,J17,N17,R17)</f>
        <v>0.92774617016592509</v>
      </c>
    </row>
    <row r="18" spans="1:19" ht="21" customHeight="1" thickBot="1">
      <c r="A18" s="956"/>
      <c r="B18" s="278"/>
      <c r="C18" s="279"/>
      <c r="D18" s="280"/>
      <c r="E18" s="279"/>
      <c r="F18" s="281"/>
      <c r="G18" s="279"/>
      <c r="H18" s="279"/>
      <c r="I18" s="282"/>
      <c r="J18" s="281"/>
      <c r="K18" s="283"/>
      <c r="L18" s="284"/>
      <c r="M18" s="283"/>
      <c r="N18" s="281"/>
      <c r="O18" s="283"/>
      <c r="P18" s="283"/>
      <c r="Q18" s="283"/>
      <c r="R18" s="281"/>
      <c r="S18" s="300"/>
    </row>
    <row r="19" spans="1:19">
      <c r="A19" s="957" t="s">
        <v>156</v>
      </c>
      <c r="B19" s="256" t="s">
        <v>2</v>
      </c>
      <c r="C19" s="286">
        <v>0</v>
      </c>
      <c r="D19" s="301">
        <v>2.2629310344827586E-2</v>
      </c>
      <c r="E19" s="259">
        <v>0.15985215053763419</v>
      </c>
      <c r="F19" s="260">
        <f>AVERAGE(C19:E19)</f>
        <v>6.0827153627487258E-2</v>
      </c>
      <c r="G19" s="259">
        <v>0.15825000000000045</v>
      </c>
      <c r="H19" s="259">
        <v>0.15750537634408629</v>
      </c>
      <c r="I19" s="261">
        <v>0.21513472222222182</v>
      </c>
      <c r="J19" s="260">
        <f t="shared" si="0"/>
        <v>0.17696336618876951</v>
      </c>
      <c r="K19" s="262">
        <v>0.16521908602150551</v>
      </c>
      <c r="L19" s="263">
        <v>0.44578225806451571</v>
      </c>
      <c r="M19" s="262">
        <v>0.7604985833333332</v>
      </c>
      <c r="N19" s="260">
        <f>AVERAGE(K19:M19)</f>
        <v>0.45716664247311817</v>
      </c>
      <c r="O19" s="262">
        <v>0.42041659946236504</v>
      </c>
      <c r="P19" s="262">
        <v>0.13782083333333414</v>
      </c>
      <c r="Q19" s="262">
        <v>0.14552150537634365</v>
      </c>
      <c r="R19" s="260">
        <f>AVERAGE(O19:Q19)</f>
        <v>0.23458631272401428</v>
      </c>
      <c r="S19" s="265">
        <f>AVERAGE(F19,J19,N19,R19)</f>
        <v>0.2323858687533473</v>
      </c>
    </row>
    <row r="20" spans="1:19">
      <c r="A20" s="958"/>
      <c r="B20" s="266" t="s">
        <v>80</v>
      </c>
      <c r="C20" s="267">
        <v>9.4470967741935502E-2</v>
      </c>
      <c r="D20" s="269">
        <v>9.4622327586206673E-2</v>
      </c>
      <c r="E20" s="269">
        <v>8.2594596774193507E-2</v>
      </c>
      <c r="F20" s="270">
        <f>AVERAGE(C20:E20)</f>
        <v>9.0562630700778565E-2</v>
      </c>
      <c r="G20" s="269">
        <v>4.7077074999999982E-2</v>
      </c>
      <c r="H20" s="269">
        <v>2.8915161290322542E-2</v>
      </c>
      <c r="I20" s="271">
        <v>1.6291799999999912E-2</v>
      </c>
      <c r="J20" s="270">
        <f t="shared" si="0"/>
        <v>3.0761345430107476E-2</v>
      </c>
      <c r="K20" s="272">
        <v>1.1036564516129031E-2</v>
      </c>
      <c r="L20" s="273">
        <v>1.7891237903225762E-2</v>
      </c>
      <c r="M20" s="272">
        <v>4.430037500000026E-2</v>
      </c>
      <c r="N20" s="270">
        <f>AVERAGE(K20:M20)</f>
        <v>2.4409392473118352E-2</v>
      </c>
      <c r="O20" s="272">
        <v>6.1847661290322396E-2</v>
      </c>
      <c r="P20" s="272">
        <v>8.4127875000000074E-2</v>
      </c>
      <c r="Q20" s="272">
        <v>8.9096431451612765E-2</v>
      </c>
      <c r="R20" s="270">
        <f>AVERAGE(O20:Q20)</f>
        <v>7.8357322580645081E-2</v>
      </c>
      <c r="S20" s="274">
        <f>AVERAGE(F20,J20,N20,R20)</f>
        <v>5.6022672796162368E-2</v>
      </c>
    </row>
    <row r="21" spans="1:19">
      <c r="A21" s="958"/>
      <c r="B21" s="266" t="s">
        <v>81</v>
      </c>
      <c r="C21" s="267">
        <v>0.85678166575268822</v>
      </c>
      <c r="D21" s="269">
        <v>1.0905003035919543</v>
      </c>
      <c r="E21" s="269">
        <v>0.82619437311827959</v>
      </c>
      <c r="F21" s="270">
        <f>AVERAGE(C21:E21)</f>
        <v>0.92449211415430732</v>
      </c>
      <c r="G21" s="269">
        <v>0.54137804166666659</v>
      </c>
      <c r="H21" s="269">
        <v>0.56872924590215046</v>
      </c>
      <c r="I21" s="271">
        <v>0.32385456186777772</v>
      </c>
      <c r="J21" s="270">
        <f t="shared" si="0"/>
        <v>0.47798728314553157</v>
      </c>
      <c r="K21" s="272">
        <v>0.28251492068817208</v>
      </c>
      <c r="L21" s="273">
        <v>0.32258758825376344</v>
      </c>
      <c r="M21" s="272">
        <v>0.47820980643666666</v>
      </c>
      <c r="N21" s="270">
        <f>AVERAGE(K21:M21)</f>
        <v>0.36110410512620073</v>
      </c>
      <c r="O21" s="272">
        <v>0.57519208852833326</v>
      </c>
      <c r="P21" s="272">
        <v>0.73035751587993336</v>
      </c>
      <c r="Q21" s="272">
        <v>0.92333709238597816</v>
      </c>
      <c r="R21" s="270">
        <f>AVERAGE(O21:Q21)</f>
        <v>0.74296223226474822</v>
      </c>
      <c r="S21" s="274">
        <f>AVERAGE(F21,J21,N21,R21)</f>
        <v>0.62663643367269695</v>
      </c>
    </row>
    <row r="22" spans="1:19" ht="15.75" thickBot="1">
      <c r="A22" s="958"/>
      <c r="B22" s="287" t="s">
        <v>5</v>
      </c>
      <c r="C22" s="288">
        <v>2.6956403404261766</v>
      </c>
      <c r="D22" s="288">
        <v>2.679573527068964</v>
      </c>
      <c r="E22" s="288">
        <v>1.7241707149999976</v>
      </c>
      <c r="F22" s="290">
        <f>AVERAGE(C22:E22)</f>
        <v>2.3664615274983798</v>
      </c>
      <c r="G22" s="302">
        <v>1.1638939180555548</v>
      </c>
      <c r="H22" s="302">
        <v>0.94820935107526838</v>
      </c>
      <c r="I22" s="291">
        <v>0.79258172777777769</v>
      </c>
      <c r="J22" s="290">
        <f t="shared" si="0"/>
        <v>0.96822833230286698</v>
      </c>
      <c r="K22" s="302">
        <v>0.68667110080645155</v>
      </c>
      <c r="L22" s="293">
        <v>0.74404884059139742</v>
      </c>
      <c r="M22" s="292">
        <v>1.3392316047222221</v>
      </c>
      <c r="N22" s="290">
        <f>AVERAGE(K22:M22)</f>
        <v>0.92331718204002355</v>
      </c>
      <c r="O22" s="292">
        <v>1.3042866736559136</v>
      </c>
      <c r="P22" s="292">
        <v>1.6471500810277775</v>
      </c>
      <c r="Q22" s="292">
        <v>1.7511386070430108</v>
      </c>
      <c r="R22" s="290">
        <f>AVERAGE(O22:Q22)</f>
        <v>1.5675251205755671</v>
      </c>
      <c r="S22" s="294">
        <f>AVERAGE(F22,J22,N22,R22)</f>
        <v>1.4563830406042093</v>
      </c>
    </row>
    <row r="23" spans="1:19" ht="15.75" thickBot="1">
      <c r="A23" s="295" t="s">
        <v>180</v>
      </c>
      <c r="B23" s="296"/>
      <c r="C23" s="297">
        <f>SUM(C14:C22)</f>
        <v>7.7070444505890805</v>
      </c>
      <c r="D23" s="297">
        <f t="shared" ref="D23:R23" si="2">SUM(D14:D22)</f>
        <v>7.9508687419224113</v>
      </c>
      <c r="E23" s="297">
        <f t="shared" si="2"/>
        <v>5.9068694557567181</v>
      </c>
      <c r="F23" s="297">
        <f t="shared" si="2"/>
        <v>7.1882608827560706</v>
      </c>
      <c r="G23" s="297">
        <f t="shared" si="2"/>
        <v>4.6718332612018054</v>
      </c>
      <c r="H23" s="297">
        <f t="shared" si="2"/>
        <v>4.1254770699868271</v>
      </c>
      <c r="I23" s="297">
        <f t="shared" si="2"/>
        <v>3.3865291493122216</v>
      </c>
      <c r="J23" s="297">
        <f t="shared" si="2"/>
        <v>4.0612798268336183</v>
      </c>
      <c r="K23" s="297">
        <f t="shared" si="2"/>
        <v>2.6922950220322583</v>
      </c>
      <c r="L23" s="297">
        <f t="shared" si="2"/>
        <v>3.3862784563989239</v>
      </c>
      <c r="M23" s="297">
        <f t="shared" si="2"/>
        <v>4.8151393043533339</v>
      </c>
      <c r="N23" s="297">
        <f t="shared" si="2"/>
        <v>3.6312375942615049</v>
      </c>
      <c r="O23" s="297">
        <f t="shared" si="2"/>
        <v>5.6777592393347831</v>
      </c>
      <c r="P23" s="297">
        <f t="shared" si="2"/>
        <v>6.1865454169132663</v>
      </c>
      <c r="Q23" s="297">
        <f t="shared" si="2"/>
        <v>6.2184585704939348</v>
      </c>
      <c r="R23" s="297">
        <f t="shared" si="2"/>
        <v>6.0275877422473281</v>
      </c>
      <c r="S23" s="298"/>
    </row>
    <row r="24" spans="1:19">
      <c r="A24" s="955" t="s">
        <v>192</v>
      </c>
      <c r="B24" s="303" t="s">
        <v>2</v>
      </c>
      <c r="C24" s="304">
        <f>C4+C9+C14+C19</f>
        <v>31.572487792456993</v>
      </c>
      <c r="D24" s="304">
        <f>D4+D9+D14+D19</f>
        <v>31.119317008740044</v>
      </c>
      <c r="E24" s="304">
        <f t="shared" ref="E24:R27" si="3">E4+E9+E14+E19</f>
        <v>29.912167750851324</v>
      </c>
      <c r="F24" s="305">
        <f t="shared" si="3"/>
        <v>30.867990850682784</v>
      </c>
      <c r="G24" s="304">
        <f t="shared" si="3"/>
        <v>34.950164251861118</v>
      </c>
      <c r="H24" s="304">
        <f t="shared" si="3"/>
        <v>36.562726687752658</v>
      </c>
      <c r="I24" s="304">
        <f t="shared" si="3"/>
        <v>39.795306435333337</v>
      </c>
      <c r="J24" s="305">
        <f t="shared" si="3"/>
        <v>37.1027324583157</v>
      </c>
      <c r="K24" s="304">
        <f t="shared" si="3"/>
        <v>38.853685800924723</v>
      </c>
      <c r="L24" s="304">
        <f t="shared" si="3"/>
        <v>40.875521083182797</v>
      </c>
      <c r="M24" s="304">
        <f t="shared" si="3"/>
        <v>42.767962518666664</v>
      </c>
      <c r="N24" s="305">
        <f t="shared" si="3"/>
        <v>40.832389800924723</v>
      </c>
      <c r="O24" s="304">
        <f t="shared" si="3"/>
        <v>38.202520075118272</v>
      </c>
      <c r="P24" s="304">
        <f t="shared" si="3"/>
        <v>34.332865602000005</v>
      </c>
      <c r="Q24" s="304">
        <f t="shared" si="3"/>
        <v>30.991711728344082</v>
      </c>
      <c r="R24" s="305">
        <f>R4+R9+R14+R19</f>
        <v>34.509032468487447</v>
      </c>
      <c r="S24" s="306">
        <f>AVERAGE(F24,J24,N24,R24)</f>
        <v>35.828036394602663</v>
      </c>
    </row>
    <row r="25" spans="1:19">
      <c r="A25" s="955"/>
      <c r="B25" s="266" t="s">
        <v>80</v>
      </c>
      <c r="C25" s="304">
        <f t="shared" ref="C25:F27" si="4">C5+C10+C15+C20</f>
        <v>7.4448043443548295</v>
      </c>
      <c r="D25" s="307">
        <f t="shared" si="4"/>
        <v>8.5167345067979596</v>
      </c>
      <c r="E25" s="307">
        <f t="shared" si="4"/>
        <v>11.67805558671165</v>
      </c>
      <c r="F25" s="270">
        <f t="shared" si="4"/>
        <v>9.2131981459548129</v>
      </c>
      <c r="G25" s="307">
        <f t="shared" si="3"/>
        <v>17.899858310744936</v>
      </c>
      <c r="H25" s="307">
        <f t="shared" si="3"/>
        <v>25.01897276104814</v>
      </c>
      <c r="I25" s="307">
        <f t="shared" si="3"/>
        <v>25.514521731412575</v>
      </c>
      <c r="J25" s="270">
        <f t="shared" si="3"/>
        <v>22.811117601068549</v>
      </c>
      <c r="K25" s="307">
        <f t="shared" si="3"/>
        <v>31.138831690860219</v>
      </c>
      <c r="L25" s="307">
        <f t="shared" si="3"/>
        <v>30.157630693548391</v>
      </c>
      <c r="M25" s="307">
        <f t="shared" si="3"/>
        <v>34.570880180555555</v>
      </c>
      <c r="N25" s="270">
        <f t="shared" si="3"/>
        <v>31.955780854988053</v>
      </c>
      <c r="O25" s="307">
        <f t="shared" si="3"/>
        <v>36.568843266129029</v>
      </c>
      <c r="P25" s="307">
        <f t="shared" si="3"/>
        <v>16.02888890277778</v>
      </c>
      <c r="Q25" s="307">
        <f t="shared" si="3"/>
        <v>9.0870867540322564</v>
      </c>
      <c r="R25" s="270">
        <f t="shared" si="3"/>
        <v>20.56160630764635</v>
      </c>
      <c r="S25" s="308">
        <f t="shared" ref="S25:S31" si="5">AVERAGE(F25,J25,N25,R25)</f>
        <v>21.135425727414443</v>
      </c>
    </row>
    <row r="26" spans="1:19">
      <c r="A26" s="955"/>
      <c r="B26" s="266" t="s">
        <v>81</v>
      </c>
      <c r="C26" s="304">
        <f t="shared" si="4"/>
        <v>8.3039870740392452</v>
      </c>
      <c r="D26" s="307">
        <f t="shared" si="4"/>
        <v>8.6722728113244507</v>
      </c>
      <c r="E26" s="307">
        <f t="shared" si="4"/>
        <v>7.624262149249728</v>
      </c>
      <c r="F26" s="270">
        <f>F6+F11+F16+F21</f>
        <v>8.2001740115378077</v>
      </c>
      <c r="G26" s="307">
        <f t="shared" si="3"/>
        <v>6.7108764883918095</v>
      </c>
      <c r="H26" s="307">
        <f t="shared" si="3"/>
        <v>5.361210390938874</v>
      </c>
      <c r="I26" s="307">
        <f t="shared" si="3"/>
        <v>3.1933904277844434</v>
      </c>
      <c r="J26" s="270">
        <f t="shared" si="3"/>
        <v>5.0884924357050423</v>
      </c>
      <c r="K26" s="307">
        <f t="shared" si="3"/>
        <v>3.1727587491827958</v>
      </c>
      <c r="L26" s="307">
        <f t="shared" si="3"/>
        <v>3.2683882905387094</v>
      </c>
      <c r="M26" s="307">
        <f t="shared" si="3"/>
        <v>5.1925203801866662</v>
      </c>
      <c r="N26" s="270">
        <f t="shared" si="3"/>
        <v>3.8778891399693913</v>
      </c>
      <c r="O26" s="307">
        <f t="shared" si="3"/>
        <v>7.29897501191543</v>
      </c>
      <c r="P26" s="307">
        <f t="shared" si="3"/>
        <v>7.7352502803299323</v>
      </c>
      <c r="Q26" s="307">
        <f t="shared" si="3"/>
        <v>8.9885556690960833</v>
      </c>
      <c r="R26" s="270">
        <f t="shared" si="3"/>
        <v>8.0075936537804822</v>
      </c>
      <c r="S26" s="308">
        <f t="shared" si="5"/>
        <v>6.2935373102481806</v>
      </c>
    </row>
    <row r="27" spans="1:19" ht="15.75" thickBot="1">
      <c r="A27" s="955"/>
      <c r="B27" s="287" t="s">
        <v>5</v>
      </c>
      <c r="C27" s="304">
        <f>C7+C12+C17+C22</f>
        <v>5.4142452486587036</v>
      </c>
      <c r="D27" s="302">
        <f t="shared" si="4"/>
        <v>5.5175433547672394</v>
      </c>
      <c r="E27" s="302">
        <f t="shared" si="4"/>
        <v>4.0695733589542984</v>
      </c>
      <c r="F27" s="290">
        <f t="shared" si="4"/>
        <v>5.0004539874600811</v>
      </c>
      <c r="G27" s="302">
        <f t="shared" si="3"/>
        <v>3.3305755555138878</v>
      </c>
      <c r="H27" s="302">
        <f t="shared" si="3"/>
        <v>2.5365610612970428</v>
      </c>
      <c r="I27" s="302">
        <f t="shared" si="3"/>
        <v>1.5826393616666665</v>
      </c>
      <c r="J27" s="290">
        <f t="shared" si="3"/>
        <v>2.4832586594925323</v>
      </c>
      <c r="K27" s="302">
        <f t="shared" si="3"/>
        <v>1.9208500658602152</v>
      </c>
      <c r="L27" s="302">
        <f t="shared" si="3"/>
        <v>1.5493263405913975</v>
      </c>
      <c r="M27" s="302">
        <f t="shared" si="3"/>
        <v>2.7125566741666667</v>
      </c>
      <c r="N27" s="290">
        <f t="shared" si="3"/>
        <v>2.0609110268727595</v>
      </c>
      <c r="O27" s="302">
        <f t="shared" si="3"/>
        <v>3.1796725876344079</v>
      </c>
      <c r="P27" s="302">
        <f t="shared" si="3"/>
        <v>3.9177557476944438</v>
      </c>
      <c r="Q27" s="302">
        <f t="shared" si="3"/>
        <v>4.1741506097311829</v>
      </c>
      <c r="R27" s="290">
        <f t="shared" si="3"/>
        <v>3.7571929816866785</v>
      </c>
      <c r="S27" s="309">
        <f t="shared" si="5"/>
        <v>3.3254541638780126</v>
      </c>
    </row>
    <row r="28" spans="1:19" ht="15.75" thickBot="1">
      <c r="A28" s="310" t="s">
        <v>180</v>
      </c>
      <c r="B28" s="311"/>
      <c r="C28" s="312">
        <f>C24+C25+C26+C27</f>
        <v>52.735524459509776</v>
      </c>
      <c r="D28" s="312">
        <f>D24+D25+D26+D27</f>
        <v>53.825867681629688</v>
      </c>
      <c r="E28" s="312">
        <f t="shared" ref="E28:Q28" si="6">E24+E25+E26+E27</f>
        <v>53.284058845767007</v>
      </c>
      <c r="F28" s="313">
        <f t="shared" si="6"/>
        <v>53.281816995635488</v>
      </c>
      <c r="G28" s="312">
        <f t="shared" si="6"/>
        <v>62.891474606511757</v>
      </c>
      <c r="H28" s="312">
        <f t="shared" si="6"/>
        <v>69.479470901036706</v>
      </c>
      <c r="I28" s="312">
        <f t="shared" si="6"/>
        <v>70.085857956197017</v>
      </c>
      <c r="J28" s="313">
        <f t="shared" si="6"/>
        <v>67.485601154581829</v>
      </c>
      <c r="K28" s="312">
        <f t="shared" si="6"/>
        <v>75.08612630682795</v>
      </c>
      <c r="L28" s="312">
        <f t="shared" si="6"/>
        <v>75.85086640786129</v>
      </c>
      <c r="M28" s="312">
        <f t="shared" si="6"/>
        <v>85.243919753575554</v>
      </c>
      <c r="N28" s="313">
        <f t="shared" si="6"/>
        <v>78.726970822754936</v>
      </c>
      <c r="O28" s="312">
        <f t="shared" si="6"/>
        <v>85.250010940797154</v>
      </c>
      <c r="P28" s="312">
        <f t="shared" si="6"/>
        <v>62.014760532802157</v>
      </c>
      <c r="Q28" s="312">
        <f t="shared" si="6"/>
        <v>53.241504761203615</v>
      </c>
      <c r="R28" s="313">
        <f>R24+R25+R26+R27</f>
        <v>66.835425411600966</v>
      </c>
      <c r="S28" s="314">
        <f>AVERAGE(F28,J28,N28,R28)</f>
        <v>66.582453596143296</v>
      </c>
    </row>
    <row r="29" spans="1:19" ht="45.75" thickBot="1">
      <c r="A29" s="315" t="s">
        <v>193</v>
      </c>
      <c r="B29" s="316"/>
      <c r="C29" s="317">
        <v>15.828889208</v>
      </c>
      <c r="D29" s="317">
        <v>14.772208080000002</v>
      </c>
      <c r="E29" s="317">
        <v>14.847355740000005</v>
      </c>
      <c r="F29" s="290">
        <f>AVERAGE(C29:E29)</f>
        <v>15.149484342666668</v>
      </c>
      <c r="G29" s="317">
        <v>10.322941859999998</v>
      </c>
      <c r="H29" s="317">
        <v>7.9468666200000007</v>
      </c>
      <c r="I29" s="317">
        <v>11.075584379999999</v>
      </c>
      <c r="J29" s="290">
        <f>AVERAGE(G29:I29)</f>
        <v>9.781797619999999</v>
      </c>
      <c r="K29" s="317">
        <v>8.8812170999999989</v>
      </c>
      <c r="L29" s="317">
        <v>7.6269912600000005</v>
      </c>
      <c r="M29" s="317">
        <v>9.2734941600000003</v>
      </c>
      <c r="N29" s="290">
        <f>AVERAGE(K29:M29)</f>
        <v>8.5939008399999981</v>
      </c>
      <c r="O29" s="317">
        <v>10.29477204</v>
      </c>
      <c r="P29" s="317">
        <v>11.159507099999997</v>
      </c>
      <c r="Q29" s="317">
        <v>16.479960419999998</v>
      </c>
      <c r="R29" s="290">
        <f>AVERAGE(O29:Q29)</f>
        <v>12.644746519999998</v>
      </c>
      <c r="S29" s="318">
        <f t="shared" si="5"/>
        <v>11.542482330666665</v>
      </c>
    </row>
    <row r="30" spans="1:19" ht="60">
      <c r="A30" s="319" t="s">
        <v>194</v>
      </c>
      <c r="B30" s="256" t="s">
        <v>2</v>
      </c>
      <c r="C30" s="320">
        <v>5.5177375672043025</v>
      </c>
      <c r="D30" s="320">
        <v>4.6356755747126446</v>
      </c>
      <c r="E30" s="320">
        <v>4.030724327956988</v>
      </c>
      <c r="F30" s="260">
        <f>AVERAGE(C30:E30)</f>
        <v>4.7280458232913114</v>
      </c>
      <c r="G30" s="320">
        <v>2.874526388888889</v>
      </c>
      <c r="H30" s="320">
        <v>2.1185293682795705</v>
      </c>
      <c r="I30" s="320">
        <v>0.88999729166666652</v>
      </c>
      <c r="J30" s="260">
        <f>AVERAGE(G30:I30)</f>
        <v>1.9610176829450421</v>
      </c>
      <c r="K30" s="320">
        <v>0.71228326612903214</v>
      </c>
      <c r="L30" s="320">
        <v>0.92563709677419381</v>
      </c>
      <c r="M30" s="320">
        <v>1.9538229166666667</v>
      </c>
      <c r="N30" s="260">
        <f>AVERAGE(K30:M30)</f>
        <v>1.1972477598566309</v>
      </c>
      <c r="O30" s="320">
        <v>3.0775191532258064</v>
      </c>
      <c r="P30" s="320">
        <v>3.8004214305555553</v>
      </c>
      <c r="Q30" s="320">
        <v>4.906313709677419</v>
      </c>
      <c r="R30" s="260">
        <f>AVERAGE(O30:Q30)</f>
        <v>3.9280847644862598</v>
      </c>
      <c r="S30" s="265">
        <f t="shared" si="5"/>
        <v>2.9535990076448111</v>
      </c>
    </row>
    <row r="31" spans="1:19" ht="60.75" thickBot="1">
      <c r="A31" s="321" t="s">
        <v>195</v>
      </c>
      <c r="B31" s="299"/>
      <c r="C31" s="281">
        <v>2.5307840000000001</v>
      </c>
      <c r="D31" s="281">
        <v>2.5232340000000004</v>
      </c>
      <c r="E31" s="281">
        <v>2.059342</v>
      </c>
      <c r="F31" s="322">
        <f>AVERAGE(C31:E31)</f>
        <v>2.3711200000000003</v>
      </c>
      <c r="G31" s="281">
        <v>1.7382899999999999</v>
      </c>
      <c r="H31" s="281">
        <v>1.4342701</v>
      </c>
      <c r="I31" s="281">
        <v>1.2800320000000001</v>
      </c>
      <c r="J31" s="322">
        <f>AVERAGE(G31:I31)</f>
        <v>1.4841973666666668</v>
      </c>
      <c r="K31" s="281">
        <v>1.2104649999999999</v>
      </c>
      <c r="L31" s="281">
        <v>1.296716</v>
      </c>
      <c r="M31" s="281">
        <v>1.6288479999999999</v>
      </c>
      <c r="N31" s="322">
        <f>AVERAGE(K31:M31)</f>
        <v>1.3786763333333332</v>
      </c>
      <c r="O31" s="281">
        <v>1.6315660000000001</v>
      </c>
      <c r="P31" s="281">
        <v>1.8002931400000002</v>
      </c>
      <c r="Q31" s="281">
        <v>2.1358740000000003</v>
      </c>
      <c r="R31" s="322">
        <f>AVERAGE(O31:Q31)</f>
        <v>1.8559110466666668</v>
      </c>
      <c r="S31" s="323">
        <f t="shared" si="5"/>
        <v>1.7724761866666667</v>
      </c>
    </row>
    <row r="32" spans="1:19" ht="30" customHeight="1" thickBot="1">
      <c r="A32" s="949" t="s">
        <v>196</v>
      </c>
      <c r="B32" s="950"/>
      <c r="C32" s="324">
        <f>SUM(C28:C31)</f>
        <v>76.612935234714072</v>
      </c>
      <c r="D32" s="325">
        <f>SUM(D28:D31)</f>
        <v>75.756985336342339</v>
      </c>
      <c r="E32" s="325">
        <f>SUM(E28:E31)</f>
        <v>74.221480913723994</v>
      </c>
      <c r="F32" s="297">
        <f>AVERAGE(C32:E32)</f>
        <v>75.530467161593478</v>
      </c>
      <c r="G32" s="325">
        <f>SUM(G28:G31)</f>
        <v>77.827232855400652</v>
      </c>
      <c r="H32" s="325">
        <f>SUM(H28:H31)</f>
        <v>80.979136989316274</v>
      </c>
      <c r="I32" s="325">
        <f>SUM(I28:I31)</f>
        <v>83.331471627863678</v>
      </c>
      <c r="J32" s="325">
        <f>AVERAGE(G32:I32)</f>
        <v>80.712613824193525</v>
      </c>
      <c r="K32" s="325">
        <f>SUM(K28:K31)</f>
        <v>85.890091672956984</v>
      </c>
      <c r="L32" s="325">
        <f>SUM(L28:L31)</f>
        <v>85.700210764635486</v>
      </c>
      <c r="M32" s="325">
        <f>SUM(M28:M31)</f>
        <v>98.100084830242224</v>
      </c>
      <c r="N32" s="325">
        <f>AVERAGE(K32:M32)</f>
        <v>89.896795755944893</v>
      </c>
      <c r="O32" s="325">
        <f>SUM(O28:O31)</f>
        <v>100.25386813402297</v>
      </c>
      <c r="P32" s="325">
        <f>SUM(P28:P31)</f>
        <v>78.774982203357709</v>
      </c>
      <c r="Q32" s="325">
        <f>SUM(Q28:Q31)</f>
        <v>76.763652890881033</v>
      </c>
      <c r="R32" s="325">
        <f>AVERAGE(O32:Q32)</f>
        <v>85.264167742753898</v>
      </c>
      <c r="S32" s="326">
        <f>SUM(S28:S31)</f>
        <v>82.851011121121445</v>
      </c>
    </row>
    <row r="34" spans="1:19" s="328" customFormat="1">
      <c r="A34" s="951"/>
      <c r="B34" s="951"/>
      <c r="C34" s="327">
        <f>C30+C28</f>
        <v>58.253262026714076</v>
      </c>
      <c r="D34" s="327">
        <f t="shared" ref="D34:N34" si="7">D30+D28</f>
        <v>58.461543256342331</v>
      </c>
      <c r="E34" s="327">
        <f t="shared" si="7"/>
        <v>57.314783173723995</v>
      </c>
      <c r="F34" s="327">
        <f t="shared" si="7"/>
        <v>58.009862818926798</v>
      </c>
      <c r="G34" s="327">
        <f t="shared" si="7"/>
        <v>65.766000995400645</v>
      </c>
      <c r="H34" s="327">
        <f t="shared" si="7"/>
        <v>71.598000269316273</v>
      </c>
      <c r="I34" s="327">
        <f t="shared" si="7"/>
        <v>70.975855247863677</v>
      </c>
      <c r="J34" s="327">
        <f t="shared" si="7"/>
        <v>69.44661883752687</v>
      </c>
      <c r="K34" s="327">
        <f t="shared" si="7"/>
        <v>75.798409572956984</v>
      </c>
      <c r="L34" s="327">
        <f t="shared" si="7"/>
        <v>76.776503504635485</v>
      </c>
      <c r="M34" s="327">
        <f t="shared" si="7"/>
        <v>87.197742670242221</v>
      </c>
      <c r="N34" s="327">
        <f t="shared" si="7"/>
        <v>79.924218582611573</v>
      </c>
    </row>
    <row r="35" spans="1:19">
      <c r="B35" s="219"/>
      <c r="C35" s="329">
        <v>58.253262026714076</v>
      </c>
      <c r="D35">
        <v>58.461543256342331</v>
      </c>
      <c r="E35">
        <v>57.314783173723995</v>
      </c>
      <c r="F35">
        <v>58.009862818926798</v>
      </c>
      <c r="G35">
        <v>65.766000995400645</v>
      </c>
      <c r="H35">
        <v>71.598000269316273</v>
      </c>
      <c r="I35">
        <v>70.975855247863677</v>
      </c>
      <c r="J35">
        <v>69.44661883752687</v>
      </c>
      <c r="K35">
        <v>75.798409572956984</v>
      </c>
      <c r="L35">
        <v>76.776503504635485</v>
      </c>
      <c r="M35">
        <v>87.197742670242221</v>
      </c>
      <c r="N35">
        <v>79.924218582611573</v>
      </c>
    </row>
    <row r="36" spans="1:19">
      <c r="B36" s="219"/>
      <c r="C36" s="329"/>
    </row>
    <row r="37" spans="1:19">
      <c r="B37" s="219"/>
      <c r="C37" s="329"/>
    </row>
    <row r="38" spans="1:19">
      <c r="B38" s="219"/>
      <c r="C38" s="329">
        <v>18.359673208</v>
      </c>
      <c r="D38">
        <v>17.295442080000001</v>
      </c>
      <c r="E38">
        <v>16.906697740000006</v>
      </c>
      <c r="F38">
        <v>12.061231859999998</v>
      </c>
      <c r="G38">
        <v>9.3811367200000007</v>
      </c>
      <c r="H38">
        <v>12.355616379999999</v>
      </c>
      <c r="I38">
        <v>10.091682099999998</v>
      </c>
      <c r="J38">
        <v>8.9237072600000005</v>
      </c>
      <c r="K38">
        <v>10.90234216</v>
      </c>
      <c r="L38">
        <v>11.926338039999999</v>
      </c>
      <c r="M38">
        <v>12.959800239999998</v>
      </c>
      <c r="N38">
        <v>18.615834419999999</v>
      </c>
      <c r="S38" s="593">
        <f>S29+S31</f>
        <v>13.314958517333332</v>
      </c>
    </row>
  </sheetData>
  <mergeCells count="8">
    <mergeCell ref="A32:B32"/>
    <mergeCell ref="A34:B34"/>
    <mergeCell ref="A3:B3"/>
    <mergeCell ref="A4:A7"/>
    <mergeCell ref="A9:A12"/>
    <mergeCell ref="A14:A18"/>
    <mergeCell ref="A19:A22"/>
    <mergeCell ref="A24:A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workbookViewId="0">
      <selection activeCell="I7" sqref="I7"/>
    </sheetView>
  </sheetViews>
  <sheetFormatPr defaultRowHeight="15"/>
  <cols>
    <col min="1" max="5" width="13.85546875" customWidth="1"/>
    <col min="6" max="6" width="13.85546875" hidden="1" customWidth="1"/>
    <col min="7" max="7" width="13.85546875" customWidth="1"/>
    <col min="8" max="8" width="13.85546875" hidden="1" customWidth="1"/>
    <col min="9" max="12" width="13.85546875" customWidth="1"/>
    <col min="13" max="13" width="14.42578125" customWidth="1"/>
    <col min="14" max="15" width="14.5703125" customWidth="1"/>
    <col min="16" max="18" width="13.85546875" customWidth="1"/>
    <col min="19" max="19" width="10.7109375" customWidth="1"/>
    <col min="20" max="22" width="13.85546875" customWidth="1"/>
    <col min="23" max="23" width="8.7109375" customWidth="1"/>
    <col min="24" max="24" width="6.7109375" customWidth="1"/>
    <col min="25" max="25" width="15.5703125" customWidth="1"/>
    <col min="26" max="26" width="12.7109375" customWidth="1"/>
    <col min="27" max="27" width="14.85546875" customWidth="1"/>
    <col min="28" max="28" width="11.140625" customWidth="1"/>
    <col min="29" max="29" width="11.28515625" customWidth="1"/>
    <col min="30" max="30" width="11.42578125" customWidth="1"/>
    <col min="31" max="31" width="10.7109375" customWidth="1"/>
    <col min="32" max="32" width="10" customWidth="1"/>
    <col min="33" max="33" width="10.140625" customWidth="1"/>
    <col min="34" max="34" width="11.7109375" customWidth="1"/>
    <col min="35" max="35" width="14.42578125" customWidth="1"/>
    <col min="39" max="39" width="10.28515625" customWidth="1"/>
    <col min="40" max="40" width="10.140625" customWidth="1"/>
  </cols>
  <sheetData>
    <row r="1" spans="1:40" ht="15.75">
      <c r="A1" s="966" t="s">
        <v>197</v>
      </c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966"/>
      <c r="R1" s="966"/>
      <c r="S1" s="966"/>
      <c r="T1" s="330"/>
      <c r="U1" s="330"/>
      <c r="V1" s="330"/>
    </row>
    <row r="2" spans="1:40" ht="16.5" thickBot="1">
      <c r="A2" s="331"/>
      <c r="B2" s="331"/>
      <c r="C2" s="331"/>
      <c r="D2" s="331"/>
      <c r="E2" s="967" t="s">
        <v>198</v>
      </c>
      <c r="F2" s="967"/>
      <c r="G2" s="967"/>
      <c r="H2" s="967"/>
      <c r="I2" s="967"/>
      <c r="J2" s="967"/>
      <c r="K2" s="967"/>
      <c r="L2" s="967"/>
      <c r="M2" s="967"/>
      <c r="N2" s="331"/>
      <c r="O2" s="332"/>
      <c r="P2" s="331"/>
      <c r="Q2" s="331"/>
      <c r="R2" s="331"/>
      <c r="S2" s="331"/>
      <c r="T2" s="331"/>
      <c r="U2" s="331"/>
      <c r="V2" s="331"/>
    </row>
    <row r="3" spans="1:40" ht="16.5" thickBot="1">
      <c r="A3" s="331"/>
      <c r="B3" s="331"/>
      <c r="C3" s="331"/>
      <c r="D3" s="331"/>
      <c r="E3" s="333"/>
      <c r="F3" s="333"/>
      <c r="G3" s="334"/>
      <c r="H3" s="334"/>
      <c r="I3" s="334"/>
      <c r="J3" s="334"/>
      <c r="K3" s="334"/>
      <c r="L3" s="334"/>
      <c r="M3" s="335"/>
      <c r="N3" s="331"/>
      <c r="O3" s="331"/>
      <c r="P3" s="331"/>
      <c r="Q3" s="331"/>
      <c r="R3" s="331"/>
      <c r="S3" s="331"/>
      <c r="T3" s="331"/>
      <c r="U3" s="331"/>
      <c r="V3" s="331"/>
    </row>
    <row r="4" spans="1:40" ht="15.75" thickBot="1">
      <c r="A4" s="968" t="s">
        <v>94</v>
      </c>
      <c r="B4" s="970" t="s">
        <v>199</v>
      </c>
      <c r="C4" s="971"/>
      <c r="D4" s="972"/>
      <c r="E4" s="976" t="s">
        <v>200</v>
      </c>
      <c r="F4" s="977"/>
      <c r="G4" s="978"/>
      <c r="H4" s="336"/>
      <c r="I4" s="982" t="s">
        <v>201</v>
      </c>
      <c r="J4" s="959" t="s">
        <v>202</v>
      </c>
      <c r="K4" s="968" t="s">
        <v>203</v>
      </c>
      <c r="L4" s="968" t="s">
        <v>204</v>
      </c>
      <c r="M4" s="987" t="s">
        <v>205</v>
      </c>
      <c r="N4" s="962"/>
      <c r="O4" s="962"/>
      <c r="P4" s="962"/>
      <c r="Q4" s="962"/>
      <c r="R4" s="962"/>
      <c r="S4" s="963"/>
      <c r="T4" s="337"/>
      <c r="U4" s="337"/>
      <c r="V4" s="337"/>
    </row>
    <row r="5" spans="1:40" ht="15.75" thickBot="1">
      <c r="A5" s="969"/>
      <c r="B5" s="973"/>
      <c r="C5" s="974"/>
      <c r="D5" s="975"/>
      <c r="E5" s="979"/>
      <c r="F5" s="980"/>
      <c r="G5" s="981"/>
      <c r="H5" s="338"/>
      <c r="I5" s="983"/>
      <c r="J5" s="985"/>
      <c r="K5" s="969"/>
      <c r="L5" s="969"/>
      <c r="M5" s="959" t="s">
        <v>206</v>
      </c>
      <c r="N5" s="961" t="s">
        <v>207</v>
      </c>
      <c r="O5" s="962"/>
      <c r="P5" s="963"/>
      <c r="Q5" s="961" t="s">
        <v>208</v>
      </c>
      <c r="R5" s="963"/>
      <c r="S5" s="964" t="s">
        <v>209</v>
      </c>
      <c r="T5" s="339"/>
      <c r="U5" s="339"/>
      <c r="V5" s="339"/>
    </row>
    <row r="6" spans="1:40" ht="75.75" thickBot="1">
      <c r="A6" s="969"/>
      <c r="B6" s="340" t="s">
        <v>210</v>
      </c>
      <c r="C6" s="341" t="s">
        <v>211</v>
      </c>
      <c r="D6" s="342" t="s">
        <v>212</v>
      </c>
      <c r="E6" s="343" t="s">
        <v>213</v>
      </c>
      <c r="F6" s="344" t="s">
        <v>214</v>
      </c>
      <c r="G6" s="343" t="s">
        <v>215</v>
      </c>
      <c r="H6" s="345" t="s">
        <v>216</v>
      </c>
      <c r="I6" s="984"/>
      <c r="J6" s="985"/>
      <c r="K6" s="986"/>
      <c r="L6" s="986"/>
      <c r="M6" s="960"/>
      <c r="N6" s="346" t="s">
        <v>217</v>
      </c>
      <c r="O6" s="347" t="s">
        <v>218</v>
      </c>
      <c r="P6" s="348" t="s">
        <v>219</v>
      </c>
      <c r="Q6" s="346" t="s">
        <v>220</v>
      </c>
      <c r="R6" s="348" t="s">
        <v>221</v>
      </c>
      <c r="S6" s="965"/>
      <c r="T6" s="349" t="s">
        <v>225</v>
      </c>
      <c r="U6" s="349"/>
      <c r="V6" s="349"/>
      <c r="W6" s="350"/>
      <c r="X6" s="350"/>
      <c r="Y6" s="351"/>
      <c r="Z6" s="352"/>
      <c r="AA6" s="352"/>
      <c r="AB6" s="352"/>
      <c r="AC6" s="351"/>
      <c r="AD6" s="353"/>
      <c r="AE6" s="353"/>
      <c r="AF6" s="352"/>
      <c r="AG6" s="352"/>
      <c r="AH6" s="352"/>
      <c r="AI6" s="352"/>
      <c r="AJ6" s="354"/>
      <c r="AK6" s="352"/>
      <c r="AL6" s="355"/>
      <c r="AM6" s="352"/>
      <c r="AN6" s="353"/>
    </row>
    <row r="7" spans="1:40">
      <c r="A7" s="356" t="s">
        <v>11</v>
      </c>
      <c r="B7" s="357">
        <v>9309.8449999999993</v>
      </c>
      <c r="C7" s="358">
        <v>164.33199999999999</v>
      </c>
      <c r="D7" s="359">
        <v>116.771</v>
      </c>
      <c r="E7" s="357">
        <f>B7-C7-D7</f>
        <v>9028.7419999999984</v>
      </c>
      <c r="F7" s="360"/>
      <c r="G7" s="361">
        <v>52003.537905999307</v>
      </c>
      <c r="H7" s="362">
        <v>-4971.3768494608667</v>
      </c>
      <c r="I7" s="363">
        <v>69.897228368278633</v>
      </c>
      <c r="J7" s="364">
        <v>61032.279905999305</v>
      </c>
      <c r="K7" s="365">
        <v>9087.8485250073118</v>
      </c>
      <c r="L7" s="366">
        <f>K7*100/J7</f>
        <v>14.890232740779524</v>
      </c>
      <c r="M7" s="365">
        <v>51944.431380991991</v>
      </c>
      <c r="N7" s="365">
        <v>46573.842380991991</v>
      </c>
      <c r="O7" s="365">
        <v>8349.5753809919988</v>
      </c>
      <c r="P7" s="365">
        <v>7914.4446040000003</v>
      </c>
      <c r="Q7" s="365">
        <v>5370.5889999999999</v>
      </c>
      <c r="R7" s="365">
        <v>1265.3920000000001</v>
      </c>
      <c r="S7" s="367"/>
      <c r="T7" s="368">
        <f>B7+G7</f>
        <v>61313.382905999308</v>
      </c>
      <c r="U7" s="368"/>
      <c r="V7" s="369"/>
      <c r="W7" s="370"/>
      <c r="X7" s="371"/>
      <c r="Y7" s="372"/>
      <c r="Z7" s="373"/>
      <c r="AA7" s="374"/>
      <c r="AB7" s="375"/>
      <c r="AC7" s="374"/>
      <c r="AD7" s="376"/>
      <c r="AE7" s="375"/>
      <c r="AF7" s="377"/>
      <c r="AG7" s="378"/>
      <c r="AH7" s="379"/>
      <c r="AI7" s="380"/>
      <c r="AJ7" s="371"/>
      <c r="AK7" s="381"/>
      <c r="AL7" s="382"/>
      <c r="AM7" s="383"/>
      <c r="AN7" s="384"/>
    </row>
    <row r="8" spans="1:40">
      <c r="A8" s="356" t="s">
        <v>12</v>
      </c>
      <c r="B8" s="385">
        <v>6725.7884999999997</v>
      </c>
      <c r="C8" s="386">
        <v>145.71299999999999</v>
      </c>
      <c r="D8" s="387">
        <v>99.314999999999998</v>
      </c>
      <c r="E8" s="385">
        <f>B8-C8-D8</f>
        <v>6480.7605000000003</v>
      </c>
      <c r="F8" s="388"/>
      <c r="G8" s="389">
        <v>49584.422205363779</v>
      </c>
      <c r="H8" s="390">
        <v>-1819.294471945351</v>
      </c>
      <c r="I8" s="391">
        <v>71.241985927246802</v>
      </c>
      <c r="J8" s="388">
        <v>56065.182705363775</v>
      </c>
      <c r="K8" s="365">
        <v>7591.9765017157815</v>
      </c>
      <c r="L8" s="366">
        <f>K8*100/J8</f>
        <v>13.541339090275461</v>
      </c>
      <c r="M8" s="365">
        <v>48473.206203647991</v>
      </c>
      <c r="N8" s="365">
        <v>43985.159203647992</v>
      </c>
      <c r="O8" s="365">
        <v>7485.826203648</v>
      </c>
      <c r="P8" s="365">
        <v>7386.1040400000002</v>
      </c>
      <c r="Q8" s="365">
        <v>4488.0469999999996</v>
      </c>
      <c r="R8" s="365">
        <v>1261.6170000000002</v>
      </c>
      <c r="S8" s="391"/>
      <c r="T8" s="368">
        <f t="shared" ref="T8:T25" si="0">B8+G8</f>
        <v>56310.210705363781</v>
      </c>
      <c r="U8" s="368"/>
      <c r="V8" s="369"/>
      <c r="W8" s="370"/>
      <c r="X8" s="371"/>
      <c r="Y8" s="372"/>
      <c r="Z8" s="373"/>
      <c r="AA8" s="374"/>
      <c r="AB8" s="375"/>
      <c r="AC8" s="374"/>
      <c r="AD8" s="376"/>
      <c r="AE8" s="375"/>
      <c r="AF8" s="355"/>
      <c r="AG8" s="378"/>
      <c r="AH8" s="379"/>
      <c r="AI8" s="380"/>
      <c r="AJ8" s="371"/>
      <c r="AK8" s="381"/>
      <c r="AL8" s="382"/>
      <c r="AM8" s="383"/>
      <c r="AN8" s="384"/>
    </row>
    <row r="9" spans="1:40" ht="15.75" thickBot="1">
      <c r="A9" s="392" t="s">
        <v>13</v>
      </c>
      <c r="B9" s="393">
        <v>7967.2910000000002</v>
      </c>
      <c r="C9" s="394">
        <v>118.444</v>
      </c>
      <c r="D9" s="395">
        <v>113.75</v>
      </c>
      <c r="E9" s="393">
        <f t="shared" ref="E9:E25" si="1">B9-C9-D9</f>
        <v>7735.0969999999998</v>
      </c>
      <c r="F9" s="396">
        <v>0</v>
      </c>
      <c r="G9" s="397">
        <v>47000.448636307192</v>
      </c>
      <c r="H9" s="398">
        <v>-4874.8326620530925</v>
      </c>
      <c r="I9" s="399">
        <v>63.172646016541925</v>
      </c>
      <c r="J9" s="365">
        <v>54735.545636307193</v>
      </c>
      <c r="K9" s="365">
        <v>6834.0700019363994</v>
      </c>
      <c r="L9" s="366">
        <f>K9*100/J9</f>
        <v>12.485615923783214</v>
      </c>
      <c r="M9" s="365">
        <v>47901.475634370792</v>
      </c>
      <c r="N9" s="365">
        <v>43872.945634370793</v>
      </c>
      <c r="O9" s="365">
        <v>3407.0106343707866</v>
      </c>
      <c r="P9" s="365">
        <v>7423.6778700000013</v>
      </c>
      <c r="Q9" s="365">
        <v>4028.53</v>
      </c>
      <c r="R9" s="365">
        <v>1029.671</v>
      </c>
      <c r="S9" s="400"/>
      <c r="T9" s="368">
        <f t="shared" si="0"/>
        <v>54967.739636307189</v>
      </c>
      <c r="U9" s="368"/>
      <c r="V9" s="369"/>
      <c r="W9" s="370"/>
      <c r="X9" s="371"/>
      <c r="Y9" s="372"/>
      <c r="Z9" s="373"/>
      <c r="AA9" s="374"/>
      <c r="AB9" s="375"/>
      <c r="AC9" s="374"/>
      <c r="AD9" s="376"/>
      <c r="AE9" s="375"/>
      <c r="AF9" s="355"/>
      <c r="AG9" s="378"/>
      <c r="AH9" s="379"/>
      <c r="AI9" s="380"/>
      <c r="AJ9" s="371"/>
      <c r="AK9" s="381"/>
      <c r="AL9" s="374"/>
      <c r="AM9" s="383"/>
      <c r="AN9" s="384"/>
    </row>
    <row r="10" spans="1:40" ht="15.75" thickBot="1">
      <c r="A10" s="401" t="s">
        <v>109</v>
      </c>
      <c r="B10" s="402">
        <v>24002.924500000001</v>
      </c>
      <c r="C10" s="403">
        <v>428.48899999999998</v>
      </c>
      <c r="D10" s="404">
        <v>329.83600000000001</v>
      </c>
      <c r="E10" s="402">
        <f t="shared" si="1"/>
        <v>23244.5995</v>
      </c>
      <c r="F10" s="403">
        <v>0</v>
      </c>
      <c r="G10" s="405">
        <f>SUM(G7:G9)</f>
        <v>148588.4087476703</v>
      </c>
      <c r="H10" s="405">
        <f>SUM(H7:H9)</f>
        <v>-11665.50398345931</v>
      </c>
      <c r="I10" s="405">
        <f>SUM(I7:I9)</f>
        <v>204.31186031206738</v>
      </c>
      <c r="J10" s="403">
        <f>SUM(J7:J9)</f>
        <v>171833.00824767028</v>
      </c>
      <c r="K10" s="406">
        <f>SUM(K7:K9)</f>
        <v>23513.895028659492</v>
      </c>
      <c r="L10" s="406">
        <f>AVERAGE(L7:L9)</f>
        <v>13.639062584946066</v>
      </c>
      <c r="M10" s="406">
        <f>SUM(M7:M9)</f>
        <v>148319.11321901076</v>
      </c>
      <c r="N10" s="406">
        <f>SUM(N7:N9)</f>
        <v>134431.94721901076</v>
      </c>
      <c r="O10" s="406">
        <f>SUM(O7:O9)</f>
        <v>19242.412219010788</v>
      </c>
      <c r="P10" s="406">
        <f>SUM(P7:P9)</f>
        <v>22724.226514000002</v>
      </c>
      <c r="Q10" s="406">
        <f>SUM(Q7:Q9)</f>
        <v>13887.165999999999</v>
      </c>
      <c r="R10" s="407">
        <v>3556.6800000000003</v>
      </c>
      <c r="S10" s="407">
        <v>0</v>
      </c>
      <c r="T10" s="368">
        <f t="shared" si="0"/>
        <v>172591.33324767029</v>
      </c>
      <c r="U10" s="408"/>
      <c r="V10" s="409"/>
      <c r="W10" s="410"/>
      <c r="X10" s="355"/>
      <c r="Y10" s="411"/>
      <c r="Z10" s="355"/>
      <c r="AA10" s="355"/>
      <c r="AB10" s="375"/>
      <c r="AC10" s="355"/>
      <c r="AD10" s="376"/>
      <c r="AE10" s="375"/>
      <c r="AF10" s="355"/>
      <c r="AG10" s="355"/>
      <c r="AH10" s="379"/>
      <c r="AI10" s="380"/>
      <c r="AJ10" s="371"/>
      <c r="AK10" s="381"/>
      <c r="AL10" s="374"/>
      <c r="AM10" s="383"/>
      <c r="AN10" s="384"/>
    </row>
    <row r="11" spans="1:40">
      <c r="A11" s="412" t="s">
        <v>14</v>
      </c>
      <c r="B11" s="357">
        <v>11219.704900000001</v>
      </c>
      <c r="C11" s="358">
        <v>74.974000000000004</v>
      </c>
      <c r="D11" s="413">
        <v>345.8</v>
      </c>
      <c r="E11" s="357">
        <f t="shared" si="1"/>
        <v>10798.930900000001</v>
      </c>
      <c r="F11" s="360">
        <v>0</v>
      </c>
      <c r="G11" s="361">
        <v>46587.078571686558</v>
      </c>
      <c r="H11" s="414">
        <v>-8530.7701577232565</v>
      </c>
      <c r="I11" s="415">
        <v>64.704275794009106</v>
      </c>
      <c r="J11" s="363">
        <v>57386.009471686557</v>
      </c>
      <c r="K11" s="363">
        <v>4579.7054831425648</v>
      </c>
      <c r="L11" s="366">
        <f>K11*100/J11</f>
        <v>7.9805261339911198</v>
      </c>
      <c r="M11" s="363">
        <v>52806.303988543994</v>
      </c>
      <c r="N11" s="363">
        <v>49867.499988543997</v>
      </c>
      <c r="O11" s="363">
        <v>8061.6589885439989</v>
      </c>
      <c r="P11" s="363">
        <v>5161.4709299999995</v>
      </c>
      <c r="Q11" s="363">
        <v>2938.8040000000001</v>
      </c>
      <c r="R11" s="363">
        <v>869.14499999999998</v>
      </c>
      <c r="S11" s="367"/>
      <c r="T11" s="368">
        <f t="shared" si="0"/>
        <v>57806.783471686562</v>
      </c>
      <c r="U11" s="368"/>
      <c r="V11" s="369"/>
      <c r="W11" s="410"/>
      <c r="X11" s="371"/>
      <c r="Y11" s="372"/>
      <c r="Z11" s="373"/>
      <c r="AA11" s="374"/>
      <c r="AB11" s="375"/>
      <c r="AC11" s="374"/>
      <c r="AD11" s="376"/>
      <c r="AE11" s="375"/>
      <c r="AF11" s="355"/>
      <c r="AG11" s="378"/>
      <c r="AH11" s="379"/>
      <c r="AI11" s="380"/>
      <c r="AJ11" s="371"/>
      <c r="AK11" s="381"/>
      <c r="AL11" s="374"/>
      <c r="AM11" s="383"/>
      <c r="AN11" s="384"/>
    </row>
    <row r="12" spans="1:40">
      <c r="A12" s="356" t="s">
        <v>15</v>
      </c>
      <c r="B12" s="385">
        <v>38213.557500000003</v>
      </c>
      <c r="C12" s="386">
        <v>60.691000000000003</v>
      </c>
      <c r="D12" s="416">
        <v>882.99199999999996</v>
      </c>
      <c r="E12" s="385">
        <f t="shared" si="1"/>
        <v>37269.874500000005</v>
      </c>
      <c r="F12" s="388"/>
      <c r="G12" s="389">
        <v>25774.663799143571</v>
      </c>
      <c r="H12" s="390"/>
      <c r="I12" s="417">
        <v>34.643365321429528</v>
      </c>
      <c r="J12" s="391">
        <v>63044.538299143576</v>
      </c>
      <c r="K12" s="391">
        <v>5660.8899181515735</v>
      </c>
      <c r="L12" s="366">
        <f>K12*100/J12</f>
        <v>8.9791916490702146</v>
      </c>
      <c r="M12" s="391">
        <v>57383.648380992003</v>
      </c>
      <c r="N12" s="391">
        <v>55090.327380992007</v>
      </c>
      <c r="O12" s="391">
        <v>8349.5753809919988</v>
      </c>
      <c r="P12" s="391">
        <v>3973.4333100000003</v>
      </c>
      <c r="Q12" s="391">
        <v>2293.3209999999999</v>
      </c>
      <c r="R12" s="391">
        <v>717.13499999999999</v>
      </c>
      <c r="S12" s="391"/>
      <c r="T12" s="368">
        <f t="shared" si="0"/>
        <v>63988.221299143574</v>
      </c>
      <c r="U12" s="368"/>
      <c r="V12" s="369"/>
      <c r="W12" s="410"/>
      <c r="X12" s="371"/>
      <c r="Y12" s="372"/>
      <c r="Z12" s="373"/>
      <c r="AA12" s="374"/>
      <c r="AB12" s="375"/>
      <c r="AC12" s="374"/>
      <c r="AD12" s="376"/>
      <c r="AE12" s="375"/>
      <c r="AF12" s="355"/>
      <c r="AG12" s="378"/>
      <c r="AH12" s="379"/>
      <c r="AI12" s="380"/>
      <c r="AJ12" s="371"/>
      <c r="AK12" s="381"/>
      <c r="AL12" s="374"/>
      <c r="AM12" s="383"/>
      <c r="AN12" s="384"/>
    </row>
    <row r="13" spans="1:40" ht="15.75" thickBot="1">
      <c r="A13" s="392" t="s">
        <v>16</v>
      </c>
      <c r="B13" s="393">
        <v>59679.994200000001</v>
      </c>
      <c r="C13" s="394">
        <v>67.641000000000005</v>
      </c>
      <c r="D13" s="418">
        <v>1105.2650000000001</v>
      </c>
      <c r="E13" s="393">
        <f t="shared" si="1"/>
        <v>58507.088199999998</v>
      </c>
      <c r="F13" s="396"/>
      <c r="G13" s="419">
        <v>2976.2944126444636</v>
      </c>
      <c r="H13" s="398"/>
      <c r="I13" s="420">
        <v>4.1337422397839774</v>
      </c>
      <c r="J13" s="367">
        <v>61483.382612644462</v>
      </c>
      <c r="K13" s="367">
        <v>5066.7080165484558</v>
      </c>
      <c r="L13" s="421">
        <f>K13*100/J13</f>
        <v>8.2407762898628381</v>
      </c>
      <c r="M13" s="367">
        <v>56416.674596096003</v>
      </c>
      <c r="N13" s="367">
        <v>55135.860596096005</v>
      </c>
      <c r="O13" s="367">
        <v>7773.7425960959999</v>
      </c>
      <c r="P13" s="367">
        <v>5537.7921899999992</v>
      </c>
      <c r="Q13" s="367">
        <v>1280.8140000000001</v>
      </c>
      <c r="R13" s="367">
        <v>640.01600000000008</v>
      </c>
      <c r="S13" s="422"/>
      <c r="T13" s="368">
        <f t="shared" si="0"/>
        <v>62656.288612644465</v>
      </c>
      <c r="U13" s="368"/>
      <c r="V13" s="369"/>
      <c r="W13" s="410"/>
      <c r="X13" s="371"/>
      <c r="Y13" s="372"/>
      <c r="Z13" s="373"/>
      <c r="AA13" s="374"/>
      <c r="AB13" s="375"/>
      <c r="AC13" s="374"/>
      <c r="AD13" s="376"/>
      <c r="AE13" s="375"/>
      <c r="AF13" s="355"/>
      <c r="AG13" s="378"/>
      <c r="AH13" s="379"/>
      <c r="AI13" s="380"/>
      <c r="AJ13" s="371"/>
      <c r="AK13" s="381"/>
      <c r="AL13" s="374"/>
      <c r="AM13" s="383"/>
      <c r="AN13" s="384"/>
    </row>
    <row r="14" spans="1:40" ht="15.75" thickBot="1">
      <c r="A14" s="401" t="s">
        <v>222</v>
      </c>
      <c r="B14" s="423">
        <v>109113.25660000001</v>
      </c>
      <c r="C14" s="424">
        <v>203.30600000000004</v>
      </c>
      <c r="D14" s="425">
        <v>2334.0569999999998</v>
      </c>
      <c r="E14" s="426">
        <f t="shared" si="1"/>
        <v>106575.89360000001</v>
      </c>
      <c r="F14" s="424">
        <v>0</v>
      </c>
      <c r="G14" s="427">
        <f>SUM(G11:G13)</f>
        <v>75338.036783474585</v>
      </c>
      <c r="H14" s="427">
        <f>SUM(H11:H13)</f>
        <v>-8530.7701577232565</v>
      </c>
      <c r="I14" s="427">
        <f>SUM(I11:I13)</f>
        <v>103.48138335522262</v>
      </c>
      <c r="J14" s="424">
        <f>SUM(J11:J13)</f>
        <v>181913.9303834746</v>
      </c>
      <c r="K14" s="406">
        <f>SUM(K11:K13)</f>
        <v>15307.303417842595</v>
      </c>
      <c r="L14" s="406">
        <f>AVERAGE(L11:L13)</f>
        <v>8.4001646909747247</v>
      </c>
      <c r="M14" s="406">
        <f>SUM(M11:M13)</f>
        <v>166606.62696563199</v>
      </c>
      <c r="N14" s="406">
        <f>SUM(N11:N13)</f>
        <v>160093.68796563201</v>
      </c>
      <c r="O14" s="406">
        <f>SUM(O11:O13)</f>
        <v>24184.976965631995</v>
      </c>
      <c r="P14" s="406">
        <f>SUM(P11:P13)</f>
        <v>14672.69643</v>
      </c>
      <c r="Q14" s="406">
        <f>SUM(Q11:Q13)</f>
        <v>6512.9390000000003</v>
      </c>
      <c r="R14" s="407">
        <v>2226.2960000000003</v>
      </c>
      <c r="S14" s="407">
        <v>0</v>
      </c>
      <c r="T14" s="368">
        <f t="shared" si="0"/>
        <v>184451.29338347458</v>
      </c>
      <c r="U14" s="408"/>
      <c r="V14" s="409"/>
      <c r="W14" s="410"/>
      <c r="X14" s="371"/>
      <c r="Y14" s="411"/>
      <c r="Z14" s="355"/>
      <c r="AA14" s="355"/>
      <c r="AB14" s="375"/>
      <c r="AC14" s="355"/>
      <c r="AD14" s="376"/>
      <c r="AE14" s="375"/>
      <c r="AF14" s="355"/>
      <c r="AG14" s="355"/>
      <c r="AH14" s="379"/>
      <c r="AI14" s="380"/>
      <c r="AJ14" s="371"/>
      <c r="AK14" s="381"/>
      <c r="AL14" s="374"/>
      <c r="AM14" s="383"/>
      <c r="AN14" s="384"/>
    </row>
    <row r="15" spans="1:40" ht="15.75" thickBot="1">
      <c r="A15" s="428" t="s">
        <v>223</v>
      </c>
      <c r="B15" s="429">
        <v>133116.18110000002</v>
      </c>
      <c r="C15" s="430">
        <v>631.79500000000007</v>
      </c>
      <c r="D15" s="431">
        <v>2663.893</v>
      </c>
      <c r="E15" s="429">
        <f t="shared" si="1"/>
        <v>129820.49310000001</v>
      </c>
      <c r="F15" s="430">
        <v>0</v>
      </c>
      <c r="G15" s="432">
        <f>G10+G14</f>
        <v>223926.44553114488</v>
      </c>
      <c r="H15" s="432">
        <f>H10+H14</f>
        <v>-20196.274141182566</v>
      </c>
      <c r="I15" s="432">
        <f>I10+I14</f>
        <v>307.79324366728997</v>
      </c>
      <c r="J15" s="430">
        <f>J10+J14</f>
        <v>353746.93863114488</v>
      </c>
      <c r="K15" s="433">
        <f>K10+K14</f>
        <v>38821.198446502087</v>
      </c>
      <c r="L15" s="433">
        <v>12.119243790633432</v>
      </c>
      <c r="M15" s="433">
        <f>M10+M14</f>
        <v>314925.74018464272</v>
      </c>
      <c r="N15" s="433">
        <f>N10+N14</f>
        <v>294525.63518464274</v>
      </c>
      <c r="O15" s="433">
        <f>O10+O14</f>
        <v>43427.389184642787</v>
      </c>
      <c r="P15" s="433">
        <v>35475.228000000003</v>
      </c>
      <c r="Q15" s="433">
        <f>Q10+Q14</f>
        <v>20400.105</v>
      </c>
      <c r="R15" s="434">
        <v>5782.9760000000006</v>
      </c>
      <c r="S15" s="435">
        <v>0</v>
      </c>
      <c r="T15" s="368">
        <f t="shared" si="0"/>
        <v>357042.6266311449</v>
      </c>
      <c r="U15" s="436"/>
      <c r="V15" s="437"/>
      <c r="W15" s="410"/>
      <c r="X15" s="371"/>
      <c r="Y15" s="411"/>
      <c r="Z15" s="355"/>
      <c r="AA15" s="355"/>
      <c r="AB15" s="375"/>
      <c r="AC15" s="355"/>
      <c r="AD15" s="376"/>
      <c r="AE15" s="375"/>
      <c r="AF15" s="355"/>
      <c r="AG15" s="355"/>
      <c r="AH15" s="379"/>
      <c r="AI15" s="380"/>
      <c r="AJ15" s="371"/>
      <c r="AK15" s="381"/>
      <c r="AL15" s="374"/>
      <c r="AM15" s="383"/>
      <c r="AN15" s="384"/>
    </row>
    <row r="16" spans="1:40">
      <c r="A16" s="412" t="s">
        <v>17</v>
      </c>
      <c r="B16" s="357">
        <v>57717.033600000002</v>
      </c>
      <c r="C16" s="358">
        <v>70.007000000000005</v>
      </c>
      <c r="D16" s="413">
        <v>974.47900000000004</v>
      </c>
      <c r="E16" s="357">
        <f t="shared" si="1"/>
        <v>56672.547600000005</v>
      </c>
      <c r="F16" s="360"/>
      <c r="G16" s="438">
        <v>7913.9733687086118</v>
      </c>
      <c r="H16" s="414"/>
      <c r="I16" s="415">
        <v>10.637060979447059</v>
      </c>
      <c r="J16" s="363">
        <v>64586.520968708617</v>
      </c>
      <c r="K16" s="363">
        <v>3722.4965877166155</v>
      </c>
      <c r="L16" s="366">
        <f>K16*100/J16</f>
        <v>5.7635812115040537</v>
      </c>
      <c r="M16" s="363">
        <v>60864.024380991999</v>
      </c>
      <c r="N16" s="363">
        <v>59728.853380991997</v>
      </c>
      <c r="O16" s="363">
        <v>8349.5753809919988</v>
      </c>
      <c r="P16" s="363">
        <v>4440.6085499999999</v>
      </c>
      <c r="Q16" s="363">
        <v>1135.171</v>
      </c>
      <c r="R16" s="363">
        <v>605.23299999999995</v>
      </c>
      <c r="S16" s="439"/>
      <c r="T16" s="368">
        <f t="shared" si="0"/>
        <v>65631.006968708622</v>
      </c>
      <c r="U16" s="368"/>
      <c r="V16" s="369"/>
      <c r="W16" s="410"/>
      <c r="X16" s="371"/>
      <c r="Y16" s="372"/>
      <c r="Z16" s="373"/>
      <c r="AA16" s="374"/>
      <c r="AB16" s="375"/>
      <c r="AC16" s="374"/>
      <c r="AD16" s="376"/>
      <c r="AE16" s="375"/>
      <c r="AF16" s="355"/>
      <c r="AG16" s="378"/>
      <c r="AH16" s="379"/>
      <c r="AI16" s="380"/>
      <c r="AJ16" s="371"/>
      <c r="AK16" s="381"/>
      <c r="AL16" s="374"/>
      <c r="AM16" s="383"/>
      <c r="AN16" s="384"/>
    </row>
    <row r="17" spans="1:40">
      <c r="A17" s="356" t="s">
        <v>18</v>
      </c>
      <c r="B17" s="385">
        <v>55683.046300000002</v>
      </c>
      <c r="C17" s="386">
        <v>70.852999999999994</v>
      </c>
      <c r="D17" s="416">
        <v>1155.6849999999999</v>
      </c>
      <c r="E17" s="385">
        <f t="shared" si="1"/>
        <v>54456.508300000001</v>
      </c>
      <c r="F17" s="388"/>
      <c r="G17" s="389">
        <v>12108.778101385105</v>
      </c>
      <c r="H17" s="390"/>
      <c r="I17" s="417">
        <v>16.275239383582132</v>
      </c>
      <c r="J17" s="391">
        <v>66565.286401385107</v>
      </c>
      <c r="K17" s="391">
        <v>5557.5470203931045</v>
      </c>
      <c r="L17" s="440">
        <f>K17*100/J17</f>
        <v>8.3490169138331272</v>
      </c>
      <c r="M17" s="391">
        <v>61007.739380991996</v>
      </c>
      <c r="N17" s="391">
        <v>59670.707380991997</v>
      </c>
      <c r="O17" s="391">
        <v>8349.5753809919988</v>
      </c>
      <c r="P17" s="391">
        <v>3813.4956299999999</v>
      </c>
      <c r="Q17" s="391">
        <v>1337.0320000000002</v>
      </c>
      <c r="R17" s="391">
        <v>648.35799999999995</v>
      </c>
      <c r="S17" s="441"/>
      <c r="T17" s="368">
        <f t="shared" si="0"/>
        <v>67791.824401385107</v>
      </c>
      <c r="U17" s="368"/>
      <c r="V17" s="369"/>
      <c r="W17" s="410"/>
      <c r="X17" s="371"/>
      <c r="Y17" s="372"/>
      <c r="Z17" s="373"/>
      <c r="AA17" s="374"/>
      <c r="AB17" s="375"/>
      <c r="AC17" s="374"/>
      <c r="AD17" s="376"/>
      <c r="AE17" s="375"/>
      <c r="AF17" s="355"/>
      <c r="AG17" s="378"/>
      <c r="AH17" s="379"/>
      <c r="AI17" s="380"/>
      <c r="AJ17" s="371"/>
      <c r="AK17" s="381"/>
      <c r="AL17" s="374"/>
      <c r="AM17" s="383"/>
      <c r="AN17" s="384"/>
    </row>
    <row r="18" spans="1:40" ht="15.75" thickBot="1">
      <c r="A18" s="392" t="s">
        <v>19</v>
      </c>
      <c r="B18" s="393">
        <v>53098.2163</v>
      </c>
      <c r="C18" s="394">
        <v>53.322000000000003</v>
      </c>
      <c r="D18" s="418">
        <v>1101.423</v>
      </c>
      <c r="E18" s="393">
        <f t="shared" si="1"/>
        <v>51943.471299999997</v>
      </c>
      <c r="F18" s="396"/>
      <c r="G18" s="397">
        <v>19540.522377994006</v>
      </c>
      <c r="H18" s="398"/>
      <c r="I18" s="420">
        <v>27.139614413880565</v>
      </c>
      <c r="J18" s="367">
        <v>71483.993677994004</v>
      </c>
      <c r="K18" s="367">
        <v>6129.6108290340053</v>
      </c>
      <c r="L18" s="421">
        <f>K18*100/J18</f>
        <v>8.5748018733331843</v>
      </c>
      <c r="M18" s="367">
        <v>65354.382848959998</v>
      </c>
      <c r="N18" s="367">
        <v>63133.205848959995</v>
      </c>
      <c r="O18" s="367">
        <v>5758.3278489599998</v>
      </c>
      <c r="P18" s="367">
        <v>4636.7470800000001</v>
      </c>
      <c r="Q18" s="367">
        <v>2221.1770000000001</v>
      </c>
      <c r="R18" s="367">
        <v>814.42399999999998</v>
      </c>
      <c r="S18" s="422"/>
      <c r="T18" s="368">
        <f t="shared" si="0"/>
        <v>72638.738677993999</v>
      </c>
      <c r="U18" s="368"/>
      <c r="V18" s="369"/>
      <c r="W18" s="410"/>
      <c r="X18" s="371"/>
      <c r="Y18" s="372"/>
      <c r="Z18" s="373"/>
      <c r="AA18" s="374"/>
      <c r="AB18" s="375"/>
      <c r="AC18" s="374"/>
      <c r="AD18" s="376"/>
      <c r="AE18" s="375"/>
      <c r="AF18" s="355"/>
      <c r="AG18" s="378"/>
      <c r="AH18" s="379"/>
      <c r="AI18" s="380"/>
      <c r="AJ18" s="371"/>
      <c r="AK18" s="381"/>
      <c r="AL18" s="374"/>
      <c r="AM18" s="383"/>
      <c r="AN18" s="384"/>
    </row>
    <row r="19" spans="1:40" ht="15.75" thickBot="1">
      <c r="A19" s="401" t="s">
        <v>111</v>
      </c>
      <c r="B19" s="426">
        <v>166498.29620000001</v>
      </c>
      <c r="C19" s="424">
        <v>194.18200000000002</v>
      </c>
      <c r="D19" s="425">
        <v>3231.5869999999995</v>
      </c>
      <c r="E19" s="426">
        <f t="shared" si="1"/>
        <v>163072.52720000001</v>
      </c>
      <c r="F19" s="424">
        <v>0</v>
      </c>
      <c r="G19" s="427">
        <f>SUM(G16:G18)</f>
        <v>39563.273848087723</v>
      </c>
      <c r="H19" s="427">
        <f>SUM(H16:H18)</f>
        <v>0</v>
      </c>
      <c r="I19" s="427">
        <f>SUM(I16:I18)</f>
        <v>54.051914776909754</v>
      </c>
      <c r="J19" s="424">
        <f>SUM(J16:J18)</f>
        <v>202635.80104808771</v>
      </c>
      <c r="K19" s="406">
        <f>SUM(K16:K18)</f>
        <v>15409.654437143725</v>
      </c>
      <c r="L19" s="406">
        <f>AVERAGE(L16:L18)</f>
        <v>7.5624666662234548</v>
      </c>
      <c r="M19" s="406">
        <f>SUM(M16:M18)</f>
        <v>187226.14661094401</v>
      </c>
      <c r="N19" s="406">
        <f>SUM(N16:N18)</f>
        <v>182532.766610944</v>
      </c>
      <c r="O19" s="406">
        <f>SUM(O16:O18)</f>
        <v>22457.478610943996</v>
      </c>
      <c r="P19" s="406">
        <f>SUM(P16:P18)</f>
        <v>12890.851259999999</v>
      </c>
      <c r="Q19" s="406">
        <f>SUM(Q16:Q18)</f>
        <v>4693.380000000001</v>
      </c>
      <c r="R19" s="407">
        <v>2068.0149999999999</v>
      </c>
      <c r="S19" s="407">
        <v>0</v>
      </c>
      <c r="T19" s="368">
        <f t="shared" si="0"/>
        <v>206061.57004808774</v>
      </c>
      <c r="U19" s="408"/>
      <c r="V19" s="409"/>
      <c r="W19" s="410"/>
      <c r="X19" s="371"/>
      <c r="Y19" s="411"/>
      <c r="Z19" s="355"/>
      <c r="AA19" s="374"/>
      <c r="AB19" s="375"/>
      <c r="AC19" s="355"/>
      <c r="AD19" s="376"/>
      <c r="AE19" s="375"/>
      <c r="AF19" s="355"/>
      <c r="AG19" s="355"/>
      <c r="AH19" s="379"/>
      <c r="AI19" s="380"/>
      <c r="AJ19" s="371"/>
      <c r="AK19" s="381"/>
      <c r="AL19" s="374"/>
      <c r="AM19" s="383"/>
      <c r="AN19" s="384"/>
    </row>
    <row r="20" spans="1:40" ht="15.75" thickBot="1">
      <c r="A20" s="428" t="s">
        <v>223</v>
      </c>
      <c r="B20" s="429">
        <v>299614.47730000003</v>
      </c>
      <c r="C20" s="430">
        <v>825.97700000000009</v>
      </c>
      <c r="D20" s="431">
        <v>5895.48</v>
      </c>
      <c r="E20" s="429">
        <f t="shared" si="1"/>
        <v>292893.02030000003</v>
      </c>
      <c r="F20" s="430">
        <v>0</v>
      </c>
      <c r="G20" s="432">
        <f>G15+G19</f>
        <v>263489.71937923261</v>
      </c>
      <c r="H20" s="432">
        <f>H15+H19</f>
        <v>-20196.274141182566</v>
      </c>
      <c r="I20" s="432">
        <f>I15+I19</f>
        <v>361.84515844419974</v>
      </c>
      <c r="J20" s="430">
        <f>J15+J19</f>
        <v>556382.73967923259</v>
      </c>
      <c r="K20" s="433">
        <f>K15+K19</f>
        <v>54230.852883645814</v>
      </c>
      <c r="L20" s="433">
        <v>10.674994015762721</v>
      </c>
      <c r="M20" s="433">
        <f>M15+M19</f>
        <v>502151.88679558673</v>
      </c>
      <c r="N20" s="433">
        <f>N15+N19</f>
        <v>477058.40179558675</v>
      </c>
      <c r="O20" s="433">
        <f>O15+O19</f>
        <v>65884.86779558679</v>
      </c>
      <c r="P20" s="433">
        <v>47752.225000000006</v>
      </c>
      <c r="Q20" s="433">
        <f>Q15+Q19</f>
        <v>25093.485000000001</v>
      </c>
      <c r="R20" s="435">
        <v>7850.991</v>
      </c>
      <c r="S20" s="435">
        <v>0</v>
      </c>
      <c r="T20" s="368">
        <f t="shared" si="0"/>
        <v>563104.19667923264</v>
      </c>
      <c r="U20" s="408"/>
      <c r="V20" s="409"/>
      <c r="W20" s="410"/>
      <c r="X20" s="371"/>
      <c r="Y20" s="411"/>
      <c r="Z20" s="355"/>
      <c r="AA20" s="374"/>
      <c r="AB20" s="375"/>
      <c r="AC20" s="355"/>
      <c r="AD20" s="376"/>
      <c r="AE20" s="375"/>
      <c r="AF20" s="355"/>
      <c r="AG20" s="355"/>
      <c r="AH20" s="379"/>
      <c r="AI20" s="380"/>
      <c r="AJ20" s="371"/>
      <c r="AK20" s="381"/>
      <c r="AL20" s="374"/>
      <c r="AM20" s="383"/>
      <c r="AN20" s="384"/>
    </row>
    <row r="21" spans="1:40">
      <c r="A21" s="412" t="s">
        <v>20</v>
      </c>
      <c r="B21" s="357">
        <v>34078.439700000003</v>
      </c>
      <c r="C21" s="358">
        <v>40.960999999999999</v>
      </c>
      <c r="D21" s="413">
        <v>603.15200000000004</v>
      </c>
      <c r="E21" s="357">
        <f t="shared" si="1"/>
        <v>33434.326699999998</v>
      </c>
      <c r="F21" s="360"/>
      <c r="G21" s="361">
        <v>46383.062152914667</v>
      </c>
      <c r="H21" s="414"/>
      <c r="I21" s="415">
        <v>62.34282547434767</v>
      </c>
      <c r="J21" s="363">
        <v>79817.388852914664</v>
      </c>
      <c r="K21" s="363">
        <v>8714.3704719226644</v>
      </c>
      <c r="L21" s="366">
        <f>K21*100/J21</f>
        <v>10.917884682974623</v>
      </c>
      <c r="M21" s="363">
        <v>71103.018380991998</v>
      </c>
      <c r="N21" s="363">
        <v>67997.561380992003</v>
      </c>
      <c r="O21" s="363">
        <v>8349.5753809919988</v>
      </c>
      <c r="P21" s="363">
        <v>5147.3860199999999</v>
      </c>
      <c r="Q21" s="363">
        <v>3105.4569999999999</v>
      </c>
      <c r="R21" s="363">
        <v>815.78300000000002</v>
      </c>
      <c r="S21" s="367"/>
      <c r="T21" s="368">
        <f t="shared" si="0"/>
        <v>80461.501852914662</v>
      </c>
      <c r="U21" s="368"/>
      <c r="V21" s="369"/>
      <c r="W21" s="410"/>
      <c r="X21" s="371"/>
      <c r="Y21" s="372"/>
      <c r="Z21" s="373"/>
      <c r="AA21" s="374"/>
      <c r="AB21" s="375"/>
      <c r="AC21" s="374"/>
      <c r="AD21" s="376"/>
      <c r="AE21" s="375"/>
      <c r="AF21" s="355"/>
      <c r="AG21" s="378"/>
      <c r="AH21" s="379"/>
      <c r="AI21" s="380"/>
      <c r="AJ21" s="371"/>
      <c r="AK21" s="381"/>
      <c r="AL21" s="374"/>
      <c r="AM21" s="383"/>
      <c r="AN21" s="384"/>
    </row>
    <row r="22" spans="1:40">
      <c r="A22" s="356" t="s">
        <v>21</v>
      </c>
      <c r="B22" s="385">
        <v>16489.9539</v>
      </c>
      <c r="C22" s="386">
        <v>91.427000000000007</v>
      </c>
      <c r="D22" s="416">
        <v>315.52199999999999</v>
      </c>
      <c r="E22" s="385">
        <f t="shared" si="1"/>
        <v>16083.0049</v>
      </c>
      <c r="F22" s="388"/>
      <c r="G22" s="389">
        <v>44425.881446592961</v>
      </c>
      <c r="H22" s="390">
        <v>-10691.967282816855</v>
      </c>
      <c r="I22" s="417">
        <v>61.702613120267998</v>
      </c>
      <c r="J22" s="391">
        <v>60508.886346592961</v>
      </c>
      <c r="K22" s="391">
        <v>7217.8883580489646</v>
      </c>
      <c r="L22" s="440">
        <f>K22*100/J22</f>
        <v>11.92864188031016</v>
      </c>
      <c r="M22" s="391">
        <v>53290.997988543997</v>
      </c>
      <c r="N22" s="391">
        <v>49654.547988544</v>
      </c>
      <c r="O22" s="391">
        <v>8061.6589885439989</v>
      </c>
      <c r="P22" s="391">
        <v>5579.7535499999994</v>
      </c>
      <c r="Q22" s="391">
        <v>3636.45</v>
      </c>
      <c r="R22" s="391">
        <v>900.14700000000005</v>
      </c>
      <c r="S22" s="391"/>
      <c r="T22" s="368">
        <f t="shared" si="0"/>
        <v>60915.835346592961</v>
      </c>
      <c r="U22" s="368"/>
      <c r="V22" s="369"/>
      <c r="W22" s="370"/>
      <c r="X22" s="371"/>
      <c r="Y22" s="372"/>
      <c r="Z22" s="373"/>
      <c r="AA22" s="374"/>
      <c r="AB22" s="375"/>
      <c r="AC22" s="374"/>
      <c r="AD22" s="376"/>
      <c r="AE22" s="375"/>
      <c r="AF22" s="355"/>
      <c r="AG22" s="378"/>
      <c r="AH22" s="379"/>
      <c r="AI22" s="380"/>
      <c r="AJ22" s="371"/>
      <c r="AK22" s="381"/>
      <c r="AL22" s="374"/>
      <c r="AM22" s="383"/>
      <c r="AN22" s="384"/>
    </row>
    <row r="23" spans="1:40" ht="15.75" thickBot="1">
      <c r="A23" s="392" t="s">
        <v>22</v>
      </c>
      <c r="B23" s="393">
        <v>12758.623799999999</v>
      </c>
      <c r="C23" s="394">
        <v>146.22</v>
      </c>
      <c r="D23" s="418">
        <v>234.428</v>
      </c>
      <c r="E23" s="393">
        <f t="shared" si="1"/>
        <v>12377.9758</v>
      </c>
      <c r="F23" s="396"/>
      <c r="G23" s="397">
        <v>48363.593189613064</v>
      </c>
      <c r="H23" s="398">
        <v>-8314.2555397967662</v>
      </c>
      <c r="I23" s="420">
        <v>65.004829555931536</v>
      </c>
      <c r="J23" s="367">
        <v>60741.568989613064</v>
      </c>
      <c r="K23" s="367">
        <v>9035.4240010690537</v>
      </c>
      <c r="L23" s="421">
        <f>K23*100/J23</f>
        <v>14.875190337302829</v>
      </c>
      <c r="M23" s="367">
        <v>51706.144988544009</v>
      </c>
      <c r="N23" s="367">
        <v>46987.910988544005</v>
      </c>
      <c r="O23" s="367">
        <v>8061.6589885439989</v>
      </c>
      <c r="P23" s="367">
        <v>8239.9802099999997</v>
      </c>
      <c r="Q23" s="367">
        <v>4718.2340000000004</v>
      </c>
      <c r="R23" s="367">
        <v>1067.9370000000001</v>
      </c>
      <c r="S23" s="400"/>
      <c r="T23" s="368">
        <f t="shared" si="0"/>
        <v>61122.216989613065</v>
      </c>
      <c r="U23" s="368"/>
      <c r="V23" s="369"/>
      <c r="W23" s="410"/>
      <c r="X23" s="371"/>
      <c r="Y23" s="372"/>
      <c r="Z23" s="373"/>
      <c r="AA23" s="374"/>
      <c r="AB23" s="375"/>
      <c r="AC23" s="374"/>
      <c r="AD23" s="376"/>
      <c r="AE23" s="375"/>
      <c r="AF23" s="355"/>
      <c r="AG23" s="378"/>
      <c r="AH23" s="379"/>
      <c r="AI23" s="380"/>
      <c r="AJ23" s="371"/>
      <c r="AK23" s="381"/>
      <c r="AL23" s="374"/>
      <c r="AM23" s="383"/>
      <c r="AN23" s="384"/>
    </row>
    <row r="24" spans="1:40" ht="15.75" thickBot="1">
      <c r="A24" s="401" t="s">
        <v>224</v>
      </c>
      <c r="B24" s="442">
        <v>63327.017400000004</v>
      </c>
      <c r="C24" s="443">
        <v>278.608</v>
      </c>
      <c r="D24" s="444">
        <v>1153.1019999999999</v>
      </c>
      <c r="E24" s="442">
        <f t="shared" si="1"/>
        <v>61895.307400000005</v>
      </c>
      <c r="F24" s="443">
        <v>0</v>
      </c>
      <c r="G24" s="445">
        <f>SUM(G21:G23)</f>
        <v>139172.5367891207</v>
      </c>
      <c r="H24" s="445">
        <f>SUM(H21:H23)</f>
        <v>-19006.222822613621</v>
      </c>
      <c r="I24" s="445">
        <f>SUM(I21:I23)</f>
        <v>189.0502681505472</v>
      </c>
      <c r="J24" s="443">
        <f>SUM(J21:J23)</f>
        <v>201067.84418912069</v>
      </c>
      <c r="K24" s="446">
        <f>SUM(K21:K23)</f>
        <v>24967.682831040685</v>
      </c>
      <c r="L24" s="446">
        <f>AVERAGE(L21:L23)</f>
        <v>12.573905633529202</v>
      </c>
      <c r="M24" s="446">
        <f>SUM(M21:M23)</f>
        <v>176100.16135807999</v>
      </c>
      <c r="N24" s="446">
        <f>SUM(N21:N23)</f>
        <v>164640.02035808002</v>
      </c>
      <c r="O24" s="446">
        <f>SUM(O21:O23)</f>
        <v>24472.893358079993</v>
      </c>
      <c r="P24" s="446">
        <f>SUM(P21:P23)</f>
        <v>18967.119780000001</v>
      </c>
      <c r="Q24" s="446">
        <f>SUM(Q21:Q23)</f>
        <v>11460.141</v>
      </c>
      <c r="R24" s="407">
        <v>2783.8670000000002</v>
      </c>
      <c r="S24" s="447">
        <v>0</v>
      </c>
      <c r="T24" s="368">
        <f t="shared" si="0"/>
        <v>202499.55418912071</v>
      </c>
      <c r="U24" s="448"/>
      <c r="V24" s="449"/>
      <c r="W24" s="410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74"/>
      <c r="AM24" s="355"/>
      <c r="AN24" s="383"/>
    </row>
    <row r="25" spans="1:40" ht="15.75" thickBot="1">
      <c r="A25" s="450" t="s">
        <v>113</v>
      </c>
      <c r="B25" s="451">
        <v>362941.49470000004</v>
      </c>
      <c r="C25" s="452">
        <v>1104.585</v>
      </c>
      <c r="D25" s="453">
        <v>7048.5819999999994</v>
      </c>
      <c r="E25" s="451">
        <f t="shared" si="1"/>
        <v>354788.32770000002</v>
      </c>
      <c r="F25" s="452">
        <v>0</v>
      </c>
      <c r="G25" s="454">
        <f>G10+G14+G19+G24</f>
        <v>402662.25616835331</v>
      </c>
      <c r="H25" s="454">
        <f>H10+H14+H19+H24</f>
        <v>-39202.496963796191</v>
      </c>
      <c r="I25" s="454">
        <f>I10+I14+I19+I24</f>
        <v>550.89542659474694</v>
      </c>
      <c r="J25" s="452">
        <f>J10+J14+J19+J24</f>
        <v>757450.58386835328</v>
      </c>
      <c r="K25" s="455">
        <f>K10+K14+K19+K24</f>
        <v>79198.535714686499</v>
      </c>
      <c r="L25" s="456">
        <f>K25*100/J25</f>
        <v>10.455934340985522</v>
      </c>
      <c r="M25" s="455">
        <f>M10+M14+M19+M24</f>
        <v>678252.04815366678</v>
      </c>
      <c r="N25" s="455">
        <f>N10+N14+N19+N24</f>
        <v>641698.42215366673</v>
      </c>
      <c r="O25" s="455">
        <f>O10+O14+O19+O24</f>
        <v>90357.761153666783</v>
      </c>
      <c r="P25" s="455">
        <f>P10+P14+P19+P24</f>
        <v>69254.893983999995</v>
      </c>
      <c r="Q25" s="455">
        <f>Q10+Q14+Q19+Q24</f>
        <v>36553.626000000004</v>
      </c>
      <c r="R25" s="457">
        <v>10634.858</v>
      </c>
      <c r="S25" s="457">
        <v>0</v>
      </c>
      <c r="T25" s="368">
        <f t="shared" si="0"/>
        <v>765603.75086835329</v>
      </c>
      <c r="U25" s="408"/>
      <c r="V25" s="409"/>
      <c r="W25" s="410"/>
      <c r="X25" s="355"/>
      <c r="Y25" s="373"/>
      <c r="Z25" s="458"/>
      <c r="AA25" s="374"/>
      <c r="AB25" s="374"/>
      <c r="AC25" s="374"/>
      <c r="AD25" s="374"/>
      <c r="AE25" s="459"/>
      <c r="AF25" s="355"/>
      <c r="AG25" s="460"/>
      <c r="AH25" s="460"/>
      <c r="AI25" s="461"/>
      <c r="AJ25" s="355"/>
      <c r="AK25" s="355"/>
      <c r="AL25" s="374"/>
      <c r="AM25" s="355"/>
      <c r="AN25" s="383"/>
    </row>
    <row r="27" spans="1:40">
      <c r="N27" s="462"/>
    </row>
    <row r="28" spans="1:40">
      <c r="D28" s="44"/>
      <c r="N28" s="462"/>
    </row>
    <row r="29" spans="1:40">
      <c r="N29" s="462"/>
    </row>
    <row r="30" spans="1:40">
      <c r="N30" s="462"/>
    </row>
    <row r="31" spans="1:40">
      <c r="N31" s="462"/>
    </row>
    <row r="32" spans="1:40">
      <c r="N32" s="462"/>
    </row>
    <row r="33" spans="14:14">
      <c r="N33" s="462"/>
    </row>
    <row r="34" spans="14:14">
      <c r="N34" s="462"/>
    </row>
    <row r="35" spans="14:14">
      <c r="N35" s="462"/>
    </row>
    <row r="36" spans="14:14">
      <c r="N36" s="462"/>
    </row>
    <row r="37" spans="14:14">
      <c r="N37" s="462"/>
    </row>
    <row r="38" spans="14:14">
      <c r="N38" s="462"/>
    </row>
    <row r="39" spans="14:14">
      <c r="N39" s="462"/>
    </row>
    <row r="40" spans="14:14">
      <c r="N40" s="462"/>
    </row>
    <row r="41" spans="14:14">
      <c r="N41" s="462"/>
    </row>
    <row r="42" spans="14:14">
      <c r="N42" s="462"/>
    </row>
    <row r="43" spans="14:14">
      <c r="N43" s="462"/>
    </row>
  </sheetData>
  <mergeCells count="14">
    <mergeCell ref="M5:M6"/>
    <mergeCell ref="N5:P5"/>
    <mergeCell ref="Q5:R5"/>
    <mergeCell ref="S5:S6"/>
    <mergeCell ref="A1:S1"/>
    <mergeCell ref="E2:M2"/>
    <mergeCell ref="A4:A6"/>
    <mergeCell ref="B4:D5"/>
    <mergeCell ref="E4:G5"/>
    <mergeCell ref="I4:I6"/>
    <mergeCell ref="J4:J6"/>
    <mergeCell ref="K4:K6"/>
    <mergeCell ref="L4:L6"/>
    <mergeCell ref="M4:S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48" workbookViewId="0">
      <selection activeCell="J75" sqref="J75"/>
    </sheetView>
  </sheetViews>
  <sheetFormatPr defaultRowHeight="12.75"/>
  <cols>
    <col min="1" max="1" width="26" style="500" customWidth="1"/>
    <col min="2" max="3" width="13.28515625" style="501" customWidth="1"/>
    <col min="4" max="4" width="13" style="501" customWidth="1"/>
    <col min="5" max="5" width="12.85546875" style="501" customWidth="1"/>
    <col min="6" max="6" width="13.28515625" style="501" customWidth="1"/>
    <col min="7" max="7" width="16" style="501" customWidth="1"/>
    <col min="8" max="8" width="14.28515625" style="500" customWidth="1"/>
    <col min="9" max="9" width="10.85546875" style="500" customWidth="1"/>
    <col min="10" max="10" width="12.7109375" style="500" customWidth="1"/>
    <col min="11" max="11" width="9.7109375" style="500" customWidth="1"/>
    <col min="12" max="12" width="16.7109375" style="500" customWidth="1"/>
    <col min="13" max="13" width="11.7109375" style="500" customWidth="1"/>
    <col min="14" max="14" width="14.28515625" style="500" customWidth="1"/>
    <col min="15" max="16" width="13.28515625" style="500" customWidth="1"/>
    <col min="17" max="18" width="13.85546875" style="500" customWidth="1"/>
    <col min="19" max="19" width="13.140625" style="500" customWidth="1"/>
    <col min="20" max="20" width="14" style="500" customWidth="1"/>
    <col min="21" max="21" width="16.140625" style="500" customWidth="1"/>
    <col min="22" max="22" width="13.28515625" style="500" hidden="1" customWidth="1"/>
    <col min="23" max="23" width="12.7109375" style="500" customWidth="1"/>
    <col min="24" max="24" width="12.85546875" style="500" customWidth="1"/>
    <col min="25" max="25" width="12.140625" style="500" bestFit="1" customWidth="1"/>
    <col min="26" max="16384" width="9.140625" style="500"/>
  </cols>
  <sheetData>
    <row r="1" spans="1:14" ht="18.75" hidden="1" customHeight="1"/>
    <row r="2" spans="1:14" ht="18.75" hidden="1">
      <c r="A2" s="875" t="s">
        <v>234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</row>
    <row r="3" spans="1:14" hidden="1"/>
    <row r="4" spans="1:14" hidden="1">
      <c r="A4" s="500" t="s">
        <v>235</v>
      </c>
    </row>
    <row r="5" spans="1:14" hidden="1">
      <c r="A5" s="502" t="s">
        <v>11</v>
      </c>
      <c r="B5" s="503" t="s">
        <v>12</v>
      </c>
      <c r="C5" s="503" t="s">
        <v>13</v>
      </c>
      <c r="D5" s="503" t="s">
        <v>14</v>
      </c>
      <c r="E5" s="503" t="s">
        <v>15</v>
      </c>
      <c r="F5" s="503" t="s">
        <v>16</v>
      </c>
      <c r="G5" s="503" t="s">
        <v>17</v>
      </c>
      <c r="H5" s="502" t="s">
        <v>18</v>
      </c>
      <c r="I5" s="502" t="s">
        <v>19</v>
      </c>
      <c r="J5" s="502" t="s">
        <v>20</v>
      </c>
      <c r="K5" s="502" t="s">
        <v>21</v>
      </c>
      <c r="L5" s="502" t="s">
        <v>22</v>
      </c>
    </row>
    <row r="6" spans="1:14" hidden="1">
      <c r="A6" s="502">
        <v>1.52</v>
      </c>
      <c r="B6" s="503">
        <v>1.52</v>
      </c>
      <c r="C6" s="503">
        <v>1.55</v>
      </c>
      <c r="D6" s="503">
        <v>1.8</v>
      </c>
      <c r="E6" s="503">
        <v>1.91</v>
      </c>
      <c r="F6" s="503">
        <v>1.99</v>
      </c>
      <c r="G6" s="503">
        <v>2.0099999999999998</v>
      </c>
      <c r="H6" s="502">
        <v>1.97</v>
      </c>
      <c r="I6" s="502">
        <v>1.8</v>
      </c>
      <c r="J6" s="502">
        <v>1.63</v>
      </c>
      <c r="K6" s="502">
        <v>1.5</v>
      </c>
      <c r="L6" s="502">
        <v>1.4</v>
      </c>
      <c r="M6" s="504" t="s">
        <v>236</v>
      </c>
    </row>
    <row r="7" spans="1:14" hidden="1"/>
    <row r="8" spans="1:14" hidden="1">
      <c r="A8" s="500" t="s">
        <v>237</v>
      </c>
    </row>
    <row r="9" spans="1:14" hidden="1">
      <c r="A9" s="505" t="s">
        <v>238</v>
      </c>
      <c r="B9" s="506"/>
      <c r="C9" s="506"/>
    </row>
    <row r="10" spans="1:14" hidden="1">
      <c r="A10" s="505" t="s">
        <v>239</v>
      </c>
      <c r="B10" s="506"/>
      <c r="C10" s="506"/>
    </row>
    <row r="11" spans="1:14" hidden="1">
      <c r="A11" s="507"/>
      <c r="B11" s="508"/>
      <c r="C11" s="508"/>
    </row>
    <row r="12" spans="1:14" hidden="1">
      <c r="A12" s="509" t="s">
        <v>240</v>
      </c>
      <c r="B12" s="508"/>
      <c r="C12" s="508"/>
      <c r="I12" s="500">
        <v>2015</v>
      </c>
      <c r="J12" s="500">
        <v>2016</v>
      </c>
    </row>
    <row r="13" spans="1:14" hidden="1">
      <c r="A13" s="510"/>
      <c r="B13" s="989" t="s">
        <v>241</v>
      </c>
      <c r="C13" s="989"/>
      <c r="D13" s="511" t="s">
        <v>242</v>
      </c>
      <c r="E13" s="511" t="s">
        <v>243</v>
      </c>
      <c r="F13" s="511" t="s">
        <v>244</v>
      </c>
      <c r="G13" s="511" t="s">
        <v>245</v>
      </c>
      <c r="H13" s="511" t="s">
        <v>246</v>
      </c>
      <c r="I13" s="512" t="s">
        <v>247</v>
      </c>
      <c r="J13" s="513" t="s">
        <v>247</v>
      </c>
      <c r="L13" s="514"/>
    </row>
    <row r="14" spans="1:14" ht="25.5" hidden="1">
      <c r="A14" s="515" t="s">
        <v>139</v>
      </c>
      <c r="B14" s="516" t="s">
        <v>248</v>
      </c>
      <c r="C14" s="516" t="s">
        <v>249</v>
      </c>
      <c r="D14" s="516" t="s">
        <v>248</v>
      </c>
      <c r="E14" s="516" t="s">
        <v>248</v>
      </c>
      <c r="F14" s="516" t="s">
        <v>249</v>
      </c>
      <c r="G14" s="516" t="s">
        <v>249</v>
      </c>
      <c r="H14" s="516" t="s">
        <v>249</v>
      </c>
    </row>
    <row r="15" spans="1:14" hidden="1">
      <c r="A15" s="517" t="s">
        <v>11</v>
      </c>
      <c r="B15" s="506">
        <v>5.3933852185026165E-2</v>
      </c>
      <c r="C15" s="506">
        <v>26698.94571586512</v>
      </c>
      <c r="D15" s="506">
        <v>1.1488549715567151</v>
      </c>
      <c r="E15" s="506">
        <v>1.5058676372635356</v>
      </c>
      <c r="F15" s="506">
        <v>183626.60581632095</v>
      </c>
      <c r="G15" s="506">
        <v>1160365.6487419831</v>
      </c>
      <c r="H15" s="506">
        <f>'[2]Цена ВР'!C4</f>
        <v>261478.17807706699</v>
      </c>
      <c r="I15" s="504"/>
      <c r="J15" s="518">
        <v>0.10199999999999999</v>
      </c>
      <c r="K15" s="504" t="s">
        <v>250</v>
      </c>
    </row>
    <row r="16" spans="1:14" hidden="1">
      <c r="A16" s="517" t="s">
        <v>12</v>
      </c>
      <c r="B16" s="506">
        <v>0.11435600517889132</v>
      </c>
      <c r="C16" s="506">
        <v>39699.870053944884</v>
      </c>
      <c r="D16" s="506">
        <v>1.3304397553654905</v>
      </c>
      <c r="E16" s="506">
        <v>1.6314705321594798</v>
      </c>
      <c r="F16" s="506">
        <v>183288.9188048511</v>
      </c>
      <c r="G16" s="506">
        <v>1158597.5771453497</v>
      </c>
      <c r="H16" s="506">
        <f>'[2]Цена ВР'!C5</f>
        <v>261304.75306479857</v>
      </c>
      <c r="I16" s="504"/>
      <c r="J16" s="518">
        <v>0.10199999999999999</v>
      </c>
    </row>
    <row r="17" spans="1:24" hidden="1">
      <c r="A17" s="517" t="s">
        <v>13</v>
      </c>
      <c r="B17" s="506">
        <v>0.15983367411106406</v>
      </c>
      <c r="C17" s="506">
        <v>38253.700067283011</v>
      </c>
      <c r="D17" s="506">
        <v>1.2079984203412621</v>
      </c>
      <c r="E17" s="506">
        <v>1.5029933063705465</v>
      </c>
      <c r="F17" s="506">
        <v>168176.74924542353</v>
      </c>
      <c r="G17" s="506">
        <v>1052201.9906631554</v>
      </c>
      <c r="H17" s="506">
        <f>'[2]Цена ВР'!C6</f>
        <v>250271.08429959262</v>
      </c>
      <c r="I17" s="504"/>
      <c r="J17" s="518">
        <v>0.10199999999999999</v>
      </c>
    </row>
    <row r="18" spans="1:24" hidden="1">
      <c r="A18" s="517" t="s">
        <v>14</v>
      </c>
      <c r="B18" s="506">
        <v>6.3394642178287886E-2</v>
      </c>
      <c r="C18" s="506">
        <v>31640.091820402664</v>
      </c>
      <c r="D18" s="506">
        <v>1.0619162136062563</v>
      </c>
      <c r="E18" s="506">
        <v>1.3801865468463443</v>
      </c>
      <c r="F18" s="506">
        <v>150669.86603107466</v>
      </c>
      <c r="G18" s="506">
        <v>912082.67433141707</v>
      </c>
      <c r="H18" s="506">
        <f>'[2]Цена ВР'!C7</f>
        <v>228286.75895483646</v>
      </c>
      <c r="I18" s="504"/>
      <c r="J18" s="518">
        <v>0.10199999999999999</v>
      </c>
    </row>
    <row r="19" spans="1:24" hidden="1">
      <c r="A19" s="517" t="s">
        <v>15</v>
      </c>
      <c r="B19" s="506">
        <v>5.7565077850039469E-2</v>
      </c>
      <c r="C19" s="506">
        <v>38253.699896101061</v>
      </c>
      <c r="D19" s="506">
        <v>0.72740729745907451</v>
      </c>
      <c r="E19" s="506">
        <v>1.0579174861536988</v>
      </c>
      <c r="F19" s="506">
        <v>141388.30705762017</v>
      </c>
      <c r="G19" s="506">
        <v>866021.30608501995</v>
      </c>
      <c r="H19" s="506">
        <f>'[2]Цена ВР'!C8</f>
        <v>208536.13928729852</v>
      </c>
      <c r="I19" s="504"/>
      <c r="J19" s="518">
        <v>0.10199999999999999</v>
      </c>
      <c r="M19" s="519"/>
    </row>
    <row r="20" spans="1:24" hidden="1">
      <c r="A20" s="517" t="s">
        <v>16</v>
      </c>
      <c r="B20" s="506">
        <v>0.2310157951495859</v>
      </c>
      <c r="C20" s="506">
        <v>38253.699967773122</v>
      </c>
      <c r="D20" s="506">
        <v>0.54814012090878095</v>
      </c>
      <c r="E20" s="506">
        <v>1.1700505828018473</v>
      </c>
      <c r="F20" s="506">
        <v>135043.75647649774</v>
      </c>
      <c r="G20" s="506">
        <v>873101.54017555702</v>
      </c>
      <c r="H20" s="506">
        <f>'[2]Цена ВР'!C9</f>
        <v>202839.28489421026</v>
      </c>
      <c r="I20" s="504"/>
      <c r="J20" s="518">
        <v>0.10199999999999999</v>
      </c>
      <c r="L20" s="520"/>
      <c r="M20" s="519"/>
    </row>
    <row r="21" spans="1:24" hidden="1">
      <c r="A21" s="517" t="s">
        <v>17</v>
      </c>
      <c r="B21" s="521">
        <v>2.9724488375132845E-2</v>
      </c>
      <c r="C21" s="521">
        <v>38253.699876548861</v>
      </c>
      <c r="D21" s="521">
        <v>0.85306489061606139</v>
      </c>
      <c r="E21" s="521">
        <v>0.85306489061606139</v>
      </c>
      <c r="F21" s="521">
        <v>73653.573696704392</v>
      </c>
      <c r="G21" s="521">
        <v>751302.73278949468</v>
      </c>
      <c r="H21" s="521">
        <f>'[2]Цена ВР'!B10</f>
        <v>188666.17960111608</v>
      </c>
      <c r="I21" s="518">
        <v>0.105</v>
      </c>
      <c r="J21" s="518">
        <v>0.10199999999999999</v>
      </c>
      <c r="L21" s="522"/>
    </row>
    <row r="22" spans="1:24" hidden="1">
      <c r="A22" s="517" t="s">
        <v>18</v>
      </c>
      <c r="B22" s="521">
        <v>0.10903486993913969</v>
      </c>
      <c r="C22" s="521">
        <v>38253.699961285325</v>
      </c>
      <c r="D22" s="521">
        <v>0.83729014379599953</v>
      </c>
      <c r="E22" s="521">
        <v>0.83729014379599953</v>
      </c>
      <c r="F22" s="521">
        <v>78281.022456906197</v>
      </c>
      <c r="G22" s="521">
        <v>770176.76238589035</v>
      </c>
      <c r="H22" s="521">
        <f>'[2]Цена ВР'!B11</f>
        <v>194772.32488695503</v>
      </c>
      <c r="I22" s="518">
        <v>0.105</v>
      </c>
      <c r="J22" s="518">
        <v>0.10199999999999999</v>
      </c>
      <c r="L22" s="523"/>
    </row>
    <row r="23" spans="1:24" hidden="1">
      <c r="A23" s="517" t="s">
        <v>19</v>
      </c>
      <c r="B23" s="521">
        <v>8.4619294061686515E-2</v>
      </c>
      <c r="C23" s="521">
        <v>38253.700123478564</v>
      </c>
      <c r="D23" s="521">
        <v>1.1596447123774287</v>
      </c>
      <c r="E23" s="521">
        <v>1.1596447123774287</v>
      </c>
      <c r="F23" s="521">
        <v>85475.90922572992</v>
      </c>
      <c r="G23" s="521">
        <v>873425.934671022</v>
      </c>
      <c r="H23" s="521">
        <f>'[2]Цена ВР'!B12</f>
        <v>214521.22835730898</v>
      </c>
      <c r="I23" s="518">
        <v>0.105</v>
      </c>
      <c r="J23" s="518">
        <v>0.10199999999999999</v>
      </c>
    </row>
    <row r="24" spans="1:24" hidden="1">
      <c r="A24" s="517" t="s">
        <v>20</v>
      </c>
      <c r="B24" s="521">
        <v>5.3106198496007007E-2</v>
      </c>
      <c r="C24" s="521">
        <v>40327.590149186595</v>
      </c>
      <c r="D24" s="521">
        <v>1.3701556982227583</v>
      </c>
      <c r="E24" s="521">
        <v>1.3701556982227583</v>
      </c>
      <c r="F24" s="521">
        <v>91140.65932726099</v>
      </c>
      <c r="G24" s="521">
        <v>918094.34513493429</v>
      </c>
      <c r="H24" s="521">
        <f>'[2]Цена ВР'!B13</f>
        <v>225796.3708978924</v>
      </c>
      <c r="I24" s="518">
        <v>0.105</v>
      </c>
      <c r="J24" s="518">
        <v>0.10199999999999999</v>
      </c>
    </row>
    <row r="25" spans="1:24" hidden="1">
      <c r="A25" s="517" t="s">
        <v>21</v>
      </c>
      <c r="B25" s="521">
        <v>0.1996087959136558</v>
      </c>
      <c r="C25" s="521">
        <v>40538.860019586238</v>
      </c>
      <c r="D25" s="521">
        <v>1.4627175023254573</v>
      </c>
      <c r="E25" s="521">
        <v>1.4627175023254573</v>
      </c>
      <c r="F25" s="521">
        <v>98187.988739236025</v>
      </c>
      <c r="G25" s="521">
        <v>987137.63344760053</v>
      </c>
      <c r="H25" s="521">
        <f>'[2]Цена ВР'!B14</f>
        <v>245550.97195357835</v>
      </c>
      <c r="I25" s="518">
        <v>0.105</v>
      </c>
      <c r="J25" s="518">
        <v>0.10199999999999999</v>
      </c>
    </row>
    <row r="26" spans="1:24" hidden="1">
      <c r="A26" s="517" t="s">
        <v>22</v>
      </c>
      <c r="B26" s="521">
        <v>0.11146026426086081</v>
      </c>
      <c r="C26" s="521">
        <v>40288.38367173155</v>
      </c>
      <c r="D26" s="521">
        <v>1.5011877705161147</v>
      </c>
      <c r="E26" s="521">
        <v>1.5011877705161147</v>
      </c>
      <c r="F26" s="521">
        <v>105465.87642403378</v>
      </c>
      <c r="G26" s="521">
        <v>1023072.4187975121</v>
      </c>
      <c r="H26" s="521">
        <f>'[2]Цена ВР'!B15</f>
        <v>262783.37078651687</v>
      </c>
      <c r="I26" s="518">
        <v>0.105</v>
      </c>
      <c r="J26" s="518">
        <v>0.10199999999999999</v>
      </c>
    </row>
    <row r="27" spans="1:24" hidden="1">
      <c r="A27" s="509"/>
    </row>
    <row r="28" spans="1:24" ht="13.5" hidden="1" thickBot="1"/>
    <row r="29" spans="1:24" ht="15.75" hidden="1" customHeight="1" thickBot="1">
      <c r="A29" s="524">
        <v>2013</v>
      </c>
      <c r="B29" s="990" t="s">
        <v>251</v>
      </c>
      <c r="C29" s="991"/>
      <c r="D29" s="991"/>
      <c r="E29" s="991"/>
      <c r="F29" s="992"/>
      <c r="G29" s="993" t="s">
        <v>252</v>
      </c>
      <c r="H29" s="994"/>
      <c r="I29" s="994"/>
      <c r="J29" s="995"/>
      <c r="K29" s="993" t="s">
        <v>242</v>
      </c>
      <c r="L29" s="995"/>
      <c r="M29" s="996" t="s">
        <v>243</v>
      </c>
      <c r="N29" s="997"/>
      <c r="O29" s="998" t="s">
        <v>245</v>
      </c>
      <c r="P29" s="999"/>
      <c r="Q29" s="993" t="s">
        <v>244</v>
      </c>
      <c r="R29" s="995"/>
      <c r="S29" s="993" t="s">
        <v>246</v>
      </c>
      <c r="T29" s="995"/>
      <c r="U29" s="873" t="s">
        <v>253</v>
      </c>
      <c r="V29" s="873"/>
      <c r="W29" s="873" t="s">
        <v>254</v>
      </c>
    </row>
    <row r="30" spans="1:24" ht="60.75" hidden="1" thickBot="1">
      <c r="A30" s="525" t="s">
        <v>139</v>
      </c>
      <c r="B30" s="526" t="s">
        <v>255</v>
      </c>
      <c r="C30" s="527" t="s">
        <v>256</v>
      </c>
      <c r="D30" s="527" t="s">
        <v>257</v>
      </c>
      <c r="E30" s="527" t="s">
        <v>258</v>
      </c>
      <c r="F30" s="528" t="s">
        <v>259</v>
      </c>
      <c r="G30" s="529" t="s">
        <v>260</v>
      </c>
      <c r="H30" s="530" t="s">
        <v>261</v>
      </c>
      <c r="I30" s="530" t="s">
        <v>262</v>
      </c>
      <c r="J30" s="531" t="s">
        <v>261</v>
      </c>
      <c r="K30" s="532" t="s">
        <v>260</v>
      </c>
      <c r="L30" s="531" t="s">
        <v>261</v>
      </c>
      <c r="M30" s="533" t="s">
        <v>260</v>
      </c>
      <c r="N30" s="534" t="s">
        <v>261</v>
      </c>
      <c r="O30" s="535" t="s">
        <v>262</v>
      </c>
      <c r="P30" s="536" t="s">
        <v>261</v>
      </c>
      <c r="Q30" s="532" t="s">
        <v>262</v>
      </c>
      <c r="R30" s="531" t="s">
        <v>261</v>
      </c>
      <c r="S30" s="532" t="s">
        <v>262</v>
      </c>
      <c r="T30" s="531" t="s">
        <v>261</v>
      </c>
      <c r="U30" s="988"/>
      <c r="V30" s="988"/>
      <c r="W30" s="988"/>
    </row>
    <row r="31" spans="1:24" hidden="1">
      <c r="A31" s="537" t="s">
        <v>11</v>
      </c>
      <c r="B31" s="538">
        <v>61.313382905999305</v>
      </c>
      <c r="C31" s="539">
        <v>76.612935234714072</v>
      </c>
      <c r="D31" s="539">
        <v>9.1798366040000001</v>
      </c>
      <c r="E31" s="539">
        <v>18.359673208</v>
      </c>
      <c r="F31" s="540">
        <f>C31*A6</f>
        <v>116.45166155676539</v>
      </c>
      <c r="G31" s="541">
        <f>D31</f>
        <v>9.1798366040000001</v>
      </c>
      <c r="H31" s="539">
        <f>G31*(B15*J15+B15)*1000</f>
        <v>545.60455343207707</v>
      </c>
      <c r="I31" s="539">
        <f>(C31-E31)*E9+E31</f>
        <v>18.359673208</v>
      </c>
      <c r="J31" s="540">
        <f>I31*(C15*J15+C15)/1000</f>
        <v>540.18267801223965</v>
      </c>
      <c r="K31" s="541">
        <f>B31-G31</f>
        <v>52.133546301999303</v>
      </c>
      <c r="L31" s="540">
        <f>K31*(D15*J15+D15)*1000</f>
        <v>66003.060007035383</v>
      </c>
      <c r="M31" s="542">
        <f>B31*0.05</f>
        <v>3.0656691452999656</v>
      </c>
      <c r="N31" s="543">
        <f>M31*(E15*J15+E15)*1000</f>
        <v>5087.3741316159694</v>
      </c>
      <c r="O31" s="541">
        <v>2.5470000000000002</v>
      </c>
      <c r="P31" s="540">
        <f>O31*(G15*J15+G15)/1000</f>
        <v>3256.9073406951056</v>
      </c>
      <c r="Q31" s="541">
        <f>F31-I31-O31-S31</f>
        <v>89.785063908420057</v>
      </c>
      <c r="R31" s="540">
        <f>Q31*(F15*J15+F15)/1000</f>
        <v>18168.59304543211</v>
      </c>
      <c r="S31" s="541">
        <f>'[2]Расчет объема ВР'!B11</f>
        <v>5.7599244403453236</v>
      </c>
      <c r="T31" s="544">
        <f>S31*H15/1000</f>
        <v>1506.094548523065</v>
      </c>
      <c r="U31" s="545">
        <f>H31+J31+L31+N31+P31+R31+T31</f>
        <v>95107.816304745953</v>
      </c>
      <c r="V31" s="546"/>
      <c r="W31" s="545">
        <f>(U31-J31-H31)/(B31-G31)/1000</f>
        <v>1.8034842388939103</v>
      </c>
      <c r="X31" s="520"/>
    </row>
    <row r="32" spans="1:24" hidden="1">
      <c r="A32" s="547" t="s">
        <v>12</v>
      </c>
      <c r="B32" s="548">
        <v>56.310210705363779</v>
      </c>
      <c r="C32" s="549">
        <v>75.756985336342339</v>
      </c>
      <c r="D32" s="549">
        <v>8.6477210400000004</v>
      </c>
      <c r="E32" s="549">
        <v>17.295442080000001</v>
      </c>
      <c r="F32" s="550">
        <f>C32*B6</f>
        <v>115.15061771124036</v>
      </c>
      <c r="G32" s="551">
        <f t="shared" ref="G32:G47" si="0">D32</f>
        <v>8.6477210400000004</v>
      </c>
      <c r="H32" s="549">
        <f>G32*(B16*J16+B16)*1000</f>
        <v>1089.7885529035038</v>
      </c>
      <c r="I32" s="549">
        <f>(C32-E32)*E9+E32</f>
        <v>17.295442080000001</v>
      </c>
      <c r="J32" s="550">
        <f>I32*(C16*J16+C16)/1000</f>
        <v>756.66273701788634</v>
      </c>
      <c r="K32" s="551">
        <f t="shared" ref="K32:K45" si="1">B32-G32</f>
        <v>47.662489665363779</v>
      </c>
      <c r="L32" s="550">
        <f>K32*(D16*J16+D16)*1000</f>
        <v>69880.102341727485</v>
      </c>
      <c r="M32" s="552">
        <f>B32*0.05</f>
        <v>2.8155105352681891</v>
      </c>
      <c r="N32" s="553">
        <f>M32*(E16*J16+E16)*1000</f>
        <v>5061.9515633446244</v>
      </c>
      <c r="O32" s="551">
        <v>2.7320000000000002</v>
      </c>
      <c r="P32" s="550">
        <f>O32*(G16*J16+G16)/1000</f>
        <v>3488.1480159987277</v>
      </c>
      <c r="Q32" s="551">
        <f t="shared" ref="Q32:Q45" si="2">F32-I32-O32-S32</f>
        <v>89.008303191344993</v>
      </c>
      <c r="R32" s="550">
        <f t="shared" ref="R32:R37" si="3">Q32*(F16*J16+F16)/1000</f>
        <v>17978.287693568793</v>
      </c>
      <c r="S32" s="551">
        <f>'[2]Расчет объема ВР'!C11</f>
        <v>6.1148724398953611</v>
      </c>
      <c r="T32" s="554">
        <f>S32*H16/1000</f>
        <v>1597.8452329295997</v>
      </c>
      <c r="U32" s="555">
        <f>H32+J32+L32+N32+P32+R32+T32</f>
        <v>99852.786137490621</v>
      </c>
      <c r="V32" s="556"/>
      <c r="W32" s="555">
        <f t="shared" ref="W32:W47" si="4">(U32-J32-H32)/(B32-G32)/1000</f>
        <v>2.0562571434196442</v>
      </c>
      <c r="X32" s="520"/>
    </row>
    <row r="33" spans="1:25" ht="13.5" hidden="1" thickBot="1">
      <c r="A33" s="557" t="s">
        <v>13</v>
      </c>
      <c r="B33" s="558">
        <v>54.967739636307194</v>
      </c>
      <c r="C33" s="559">
        <v>74.221480913723994</v>
      </c>
      <c r="D33" s="559">
        <v>8.453348870000001</v>
      </c>
      <c r="E33" s="559">
        <v>16.906697740000006</v>
      </c>
      <c r="F33" s="560">
        <f>C33*C6</f>
        <v>115.04329541627219</v>
      </c>
      <c r="G33" s="561">
        <f t="shared" si="0"/>
        <v>8.453348870000001</v>
      </c>
      <c r="H33" s="559">
        <f>G33*(B17*J17+B17)*1000</f>
        <v>1488.9450488950524</v>
      </c>
      <c r="I33" s="559">
        <f>(C33-E33)*E9+E33</f>
        <v>16.906697740000006</v>
      </c>
      <c r="J33" s="560">
        <f>I33*(C17*J17+C17)/1000</f>
        <v>712.71160641053723</v>
      </c>
      <c r="K33" s="561">
        <f t="shared" si="1"/>
        <v>46.514390766307194</v>
      </c>
      <c r="L33" s="560">
        <f>K33*(D17*J17+D17)*1000</f>
        <v>61920.620246856481</v>
      </c>
      <c r="M33" s="562">
        <f>B33*0.05</f>
        <v>2.7483869818153597</v>
      </c>
      <c r="N33" s="563">
        <f>M33*(E17*J17+E17)*1000</f>
        <v>4552.1495751568464</v>
      </c>
      <c r="O33" s="561">
        <v>3.9089999999999998</v>
      </c>
      <c r="P33" s="560">
        <f>O33*(G17*J17+G17)/1000</f>
        <v>4532.5894548155065</v>
      </c>
      <c r="Q33" s="561">
        <f t="shared" si="2"/>
        <v>88.506347442026893</v>
      </c>
      <c r="R33" s="560">
        <f t="shared" si="3"/>
        <v>16402.950200025469</v>
      </c>
      <c r="S33" s="561">
        <f>'[2]Расчет объема ВР'!D11</f>
        <v>5.7212502342452813</v>
      </c>
      <c r="T33" s="564">
        <f>S33*H17/1000</f>
        <v>1431.8634996738649</v>
      </c>
      <c r="U33" s="565">
        <f t="shared" ref="U33:U46" si="5">H33+J33+L33+N33+P33+R33+T33</f>
        <v>91041.829631833767</v>
      </c>
      <c r="V33" s="566"/>
      <c r="W33" s="565">
        <f t="shared" si="4"/>
        <v>1.9099502651312754</v>
      </c>
      <c r="X33" s="520"/>
    </row>
    <row r="34" spans="1:25" ht="13.5" hidden="1" thickBot="1">
      <c r="A34" s="524" t="s">
        <v>148</v>
      </c>
      <c r="B34" s="567">
        <v>172.59133324767026</v>
      </c>
      <c r="C34" s="567">
        <v>75.530467161593478</v>
      </c>
      <c r="D34" s="567">
        <v>26.280906514000002</v>
      </c>
      <c r="E34" s="567">
        <v>17.520604342666669</v>
      </c>
      <c r="F34" s="567">
        <f>SUM(F31:F33)/3</f>
        <v>115.54852489475932</v>
      </c>
      <c r="G34" s="567">
        <f t="shared" si="0"/>
        <v>26.280906514000002</v>
      </c>
      <c r="H34" s="567">
        <f t="shared" ref="H34:R34" si="6">SUM(H31:H33)</f>
        <v>3124.3381552306332</v>
      </c>
      <c r="I34" s="567">
        <f>SUM(I31:I33)/3</f>
        <v>17.520604342666669</v>
      </c>
      <c r="J34" s="567">
        <f t="shared" si="6"/>
        <v>2009.557021440663</v>
      </c>
      <c r="K34" s="567">
        <f t="shared" si="6"/>
        <v>146.31042673367028</v>
      </c>
      <c r="L34" s="567">
        <f t="shared" si="6"/>
        <v>197803.78259561933</v>
      </c>
      <c r="M34" s="568">
        <f t="shared" si="6"/>
        <v>8.6295666623835139</v>
      </c>
      <c r="N34" s="568">
        <f t="shared" si="6"/>
        <v>14701.47527011744</v>
      </c>
      <c r="O34" s="567">
        <f>SUM(O31:O33)/3</f>
        <v>3.0626666666666664</v>
      </c>
      <c r="P34" s="567">
        <f t="shared" si="6"/>
        <v>11277.644811509341</v>
      </c>
      <c r="Q34" s="567">
        <f t="shared" si="2"/>
        <v>89.099904847263986</v>
      </c>
      <c r="R34" s="567">
        <f t="shared" si="6"/>
        <v>52549.830939026375</v>
      </c>
      <c r="S34" s="567">
        <f>SUM(S31:S33)/3</f>
        <v>5.8653490381619884</v>
      </c>
      <c r="T34" s="569">
        <f>SUM(T31:T33)</f>
        <v>4535.8032811265293</v>
      </c>
      <c r="U34" s="570">
        <f t="shared" si="5"/>
        <v>286002.43207407033</v>
      </c>
      <c r="V34" s="571"/>
      <c r="W34" s="570">
        <f t="shared" si="4"/>
        <v>1.9196754678917431</v>
      </c>
    </row>
    <row r="35" spans="1:25" hidden="1">
      <c r="A35" s="572" t="s">
        <v>14</v>
      </c>
      <c r="B35" s="548">
        <v>57.806783471686565</v>
      </c>
      <c r="C35" s="549">
        <v>77.827232855400652</v>
      </c>
      <c r="D35" s="549">
        <v>6.0306159299999997</v>
      </c>
      <c r="E35" s="549">
        <v>12.061231859999998</v>
      </c>
      <c r="F35" s="550">
        <f>C35*D6</f>
        <v>140.08901913972119</v>
      </c>
      <c r="G35" s="551">
        <f t="shared" si="0"/>
        <v>6.0306159299999997</v>
      </c>
      <c r="H35" s="559">
        <f>G35*(B18*J18+B18)*1000</f>
        <v>421.3042303747302</v>
      </c>
      <c r="I35" s="549">
        <f>(C35-E35)*E9+E35</f>
        <v>12.061231859999998</v>
      </c>
      <c r="J35" s="550">
        <f>I35*(C18*J18+C18)/1000</f>
        <v>420.54356883635768</v>
      </c>
      <c r="K35" s="551">
        <f t="shared" si="1"/>
        <v>51.776167541686561</v>
      </c>
      <c r="L35" s="550">
        <f>K35*(D18*J18+D18)*1000</f>
        <v>60590.110873583857</v>
      </c>
      <c r="M35" s="552">
        <f>B35*0.05</f>
        <v>2.8903391735843282</v>
      </c>
      <c r="N35" s="553">
        <f>M35*(E18*J18+E18)*1000</f>
        <v>4396.1063820108857</v>
      </c>
      <c r="O35" s="551">
        <v>4.6580000000000004</v>
      </c>
      <c r="P35" s="550">
        <f>O35*(G18*J18+G18)/1000</f>
        <v>4681.8261689333867</v>
      </c>
      <c r="Q35" s="551">
        <f t="shared" si="2"/>
        <v>115.20929021905029</v>
      </c>
      <c r="R35" s="550">
        <f t="shared" si="3"/>
        <v>17950.749644522475</v>
      </c>
      <c r="S35" s="551">
        <f>'[2]Расчет объема ВР'!E11</f>
        <v>8.1604970606709006</v>
      </c>
      <c r="T35" s="554">
        <f>S35*H18/1000</f>
        <v>1862.9334254410292</v>
      </c>
      <c r="U35" s="573">
        <f t="shared" si="5"/>
        <v>90323.574293702724</v>
      </c>
      <c r="V35" s="574"/>
      <c r="W35" s="573">
        <f t="shared" si="4"/>
        <v>1.7282415973033769</v>
      </c>
      <c r="X35" s="520"/>
    </row>
    <row r="36" spans="1:25" hidden="1">
      <c r="A36" s="547" t="s">
        <v>15</v>
      </c>
      <c r="B36" s="548">
        <v>63.988221299143575</v>
      </c>
      <c r="C36" s="549">
        <v>80.979136989316274</v>
      </c>
      <c r="D36" s="549">
        <v>4.6905683600000003</v>
      </c>
      <c r="E36" s="549">
        <v>9.3811367200000007</v>
      </c>
      <c r="F36" s="550">
        <f>C36*E6</f>
        <v>154.67015164959409</v>
      </c>
      <c r="G36" s="551">
        <f t="shared" si="0"/>
        <v>4.6905683600000003</v>
      </c>
      <c r="H36" s="559">
        <f>G36*(B19*J19+B19)*1000</f>
        <v>297.55425195037384</v>
      </c>
      <c r="I36" s="549">
        <f>(C36-E36)*E12+E36</f>
        <v>9.3811367200000007</v>
      </c>
      <c r="J36" s="550">
        <f>I36*(C19*J19+C19)/1000</f>
        <v>395.46723402583365</v>
      </c>
      <c r="K36" s="551">
        <f t="shared" si="1"/>
        <v>59.297652939143575</v>
      </c>
      <c r="L36" s="550">
        <f>K36*(D19*J19+D19)*1000</f>
        <v>47533.167108081689</v>
      </c>
      <c r="M36" s="552">
        <f>B36*0.05</f>
        <v>3.1994110649571788</v>
      </c>
      <c r="N36" s="553">
        <f>M36*(E19*J19+E19)*1000</f>
        <v>3729.9536279350332</v>
      </c>
      <c r="O36" s="551">
        <v>3.173</v>
      </c>
      <c r="P36" s="550">
        <f>O36*(G19*J19+G19)/1000</f>
        <v>3028.169935836961</v>
      </c>
      <c r="Q36" s="551">
        <f t="shared" si="2"/>
        <v>131.55808256298687</v>
      </c>
      <c r="R36" s="550">
        <f t="shared" si="3"/>
        <v>19578.239625894385</v>
      </c>
      <c r="S36" s="551">
        <f>'[2]Расчет объема ВР'!F11</f>
        <v>10.557932366607227</v>
      </c>
      <c r="T36" s="554">
        <f>S36*H19/1000</f>
        <v>2201.7104545886818</v>
      </c>
      <c r="U36" s="555">
        <f t="shared" si="5"/>
        <v>76764.262238312964</v>
      </c>
      <c r="V36" s="556"/>
      <c r="W36" s="555">
        <f t="shared" si="4"/>
        <v>1.2828710240927697</v>
      </c>
      <c r="X36" s="520"/>
    </row>
    <row r="37" spans="1:25" ht="13.5" hidden="1" thickBot="1">
      <c r="A37" s="557" t="s">
        <v>16</v>
      </c>
      <c r="B37" s="558">
        <v>62.656288612644467</v>
      </c>
      <c r="C37" s="559">
        <v>83.331471627863678</v>
      </c>
      <c r="D37" s="559">
        <v>6.1778081899999995</v>
      </c>
      <c r="E37" s="559">
        <v>12.355616379999999</v>
      </c>
      <c r="F37" s="560">
        <f>C37*F6</f>
        <v>165.82962853944872</v>
      </c>
      <c r="G37" s="561">
        <f t="shared" si="0"/>
        <v>6.1778081899999995</v>
      </c>
      <c r="H37" s="559">
        <f>G37*(B20*J20+B20)*1000</f>
        <v>1572.7427409665102</v>
      </c>
      <c r="I37" s="559">
        <f>(C37-E37)*E9+E37</f>
        <v>12.355616379999999</v>
      </c>
      <c r="J37" s="560">
        <f>I37*(C20*J20+C20)/1000</f>
        <v>520.85814219300016</v>
      </c>
      <c r="K37" s="561">
        <f t="shared" si="1"/>
        <v>56.478480422644466</v>
      </c>
      <c r="L37" s="560">
        <f>K37*(D20*J20+D20)*1000</f>
        <v>34115.849438549034</v>
      </c>
      <c r="M37" s="562">
        <f>B37*0.05</f>
        <v>3.1328144306322234</v>
      </c>
      <c r="N37" s="563">
        <f>M37*(E20*J20+E20)*1000</f>
        <v>4039.4375881091396</v>
      </c>
      <c r="O37" s="561">
        <v>5.5529999999999999</v>
      </c>
      <c r="P37" s="560">
        <f>O37*(G20*J20+G20)/1000</f>
        <v>5342.8628035595448</v>
      </c>
      <c r="Q37" s="561">
        <f t="shared" si="2"/>
        <v>137.76114808266101</v>
      </c>
      <c r="R37" s="560">
        <f t="shared" si="3"/>
        <v>11181.554161879465</v>
      </c>
      <c r="S37" s="561">
        <f>'[2]Расчет объема ВР'!G11</f>
        <v>10.159864076787741</v>
      </c>
      <c r="T37" s="564">
        <f>S37*H20/1000</f>
        <v>2060.8195639580013</v>
      </c>
      <c r="U37" s="565">
        <f t="shared" si="5"/>
        <v>58834.124439214698</v>
      </c>
      <c r="V37" s="566"/>
      <c r="W37" s="565">
        <f t="shared" si="4"/>
        <v>1.0046396987215269</v>
      </c>
      <c r="X37" s="520"/>
    </row>
    <row r="38" spans="1:25" ht="13.5" hidden="1" thickBot="1">
      <c r="A38" s="524" t="s">
        <v>149</v>
      </c>
      <c r="B38" s="567">
        <v>184.45129338347459</v>
      </c>
      <c r="C38" s="567">
        <v>80.712613824193525</v>
      </c>
      <c r="D38" s="567">
        <v>16.89899248</v>
      </c>
      <c r="E38" s="567">
        <v>11.265994986666668</v>
      </c>
      <c r="F38" s="567">
        <f>SUM(F35:F37)/3</f>
        <v>153.52959977625466</v>
      </c>
      <c r="G38" s="567">
        <f t="shared" si="0"/>
        <v>16.89899248</v>
      </c>
      <c r="H38" s="567">
        <f t="shared" ref="H38:R38" si="7">SUM(H35:H37)</f>
        <v>2291.6012232916141</v>
      </c>
      <c r="I38" s="567">
        <f>SUM(I35:I37)/3</f>
        <v>11.265994986666668</v>
      </c>
      <c r="J38" s="567">
        <f t="shared" si="7"/>
        <v>1336.8689450551915</v>
      </c>
      <c r="K38" s="567">
        <f t="shared" si="7"/>
        <v>167.55230090347459</v>
      </c>
      <c r="L38" s="567">
        <f t="shared" si="7"/>
        <v>142239.12742021459</v>
      </c>
      <c r="M38" s="568">
        <f t="shared" si="7"/>
        <v>9.22256466917373</v>
      </c>
      <c r="N38" s="568">
        <f t="shared" si="7"/>
        <v>12165.497598055059</v>
      </c>
      <c r="O38" s="567">
        <f>SUM(O35:O37)/3</f>
        <v>4.4613333333333332</v>
      </c>
      <c r="P38" s="567">
        <f t="shared" si="7"/>
        <v>13052.858908329892</v>
      </c>
      <c r="Q38" s="567">
        <f t="shared" si="2"/>
        <v>128.17617362156602</v>
      </c>
      <c r="R38" s="567">
        <f t="shared" si="7"/>
        <v>48710.543432296327</v>
      </c>
      <c r="S38" s="567">
        <f>SUM(S35:S37)/3</f>
        <v>9.6260978346886237</v>
      </c>
      <c r="T38" s="569">
        <f>SUM(T35:T37)</f>
        <v>6125.4634439877118</v>
      </c>
      <c r="U38" s="570">
        <f t="shared" si="5"/>
        <v>225921.96097123035</v>
      </c>
      <c r="V38" s="571"/>
      <c r="W38" s="570">
        <f t="shared" si="4"/>
        <v>1.3267110603926882</v>
      </c>
    </row>
    <row r="39" spans="1:25" hidden="1">
      <c r="A39" s="572" t="s">
        <v>17</v>
      </c>
      <c r="B39" s="548">
        <v>65.631006968708618</v>
      </c>
      <c r="C39" s="549">
        <v>85.890091672956984</v>
      </c>
      <c r="D39" s="549">
        <v>5.0458410499999999</v>
      </c>
      <c r="E39" s="549">
        <v>10.091682099999998</v>
      </c>
      <c r="F39" s="550">
        <f>C39*G6</f>
        <v>172.63908426264351</v>
      </c>
      <c r="G39" s="551">
        <f t="shared" si="0"/>
        <v>5.0458410499999999</v>
      </c>
      <c r="H39" s="559">
        <f>G39*((B21*I21+B21)*J21+(B21*I21+B21))*1000</f>
        <v>182.63828748294091</v>
      </c>
      <c r="I39" s="549">
        <f>(C39-E39)*E10+E39</f>
        <v>10.091682099999998</v>
      </c>
      <c r="J39" s="550">
        <f>I39*((C21*I21+C21)*J21+(C21*I21+C21))/1000</f>
        <v>470.08985636127335</v>
      </c>
      <c r="K39" s="551">
        <f t="shared" si="1"/>
        <v>60.585165918708618</v>
      </c>
      <c r="L39" s="550">
        <f>K39*((D21*I21+D21)*J21+(D21*J21+D21))*1000</f>
        <v>62779.951601338056</v>
      </c>
      <c r="M39" s="552">
        <f>B39*0.05</f>
        <v>3.2815503484354309</v>
      </c>
      <c r="N39" s="553">
        <f>M39*((E21*I21+E21)*J21+(E21*J21+E21))*1000</f>
        <v>3400.429278819769</v>
      </c>
      <c r="O39" s="551">
        <v>4.5</v>
      </c>
      <c r="P39" s="550">
        <f>O39*((G21*I21+G21)*J21+(G21*J21+G21))/1000</f>
        <v>4106.7672414602721</v>
      </c>
      <c r="Q39" s="551">
        <f t="shared" si="2"/>
        <v>147.71389511184529</v>
      </c>
      <c r="R39" s="550">
        <f>Q39*((F21*I21+F21)*J21+(F21*J21+F21))/1000</f>
        <v>13215.627255156489</v>
      </c>
      <c r="S39" s="551">
        <f>'[2]Расчет объема ВР'!H11</f>
        <v>10.333507050798234</v>
      </c>
      <c r="T39" s="554">
        <f>S39*H21/1000</f>
        <v>1949.5832971552991</v>
      </c>
      <c r="U39" s="573">
        <f t="shared" si="5"/>
        <v>86105.086817774107</v>
      </c>
      <c r="V39" s="574"/>
      <c r="W39" s="573">
        <f t="shared" si="4"/>
        <v>1.4104501882290352</v>
      </c>
      <c r="X39" s="520"/>
    </row>
    <row r="40" spans="1:25" hidden="1">
      <c r="A40" s="547" t="s">
        <v>18</v>
      </c>
      <c r="B40" s="548">
        <v>67.791824401385114</v>
      </c>
      <c r="C40" s="549">
        <v>85.700210764635486</v>
      </c>
      <c r="D40" s="549">
        <v>4.4618536299999993</v>
      </c>
      <c r="E40" s="549">
        <v>8.9237072600000005</v>
      </c>
      <c r="F40" s="550">
        <f>C40*H6</f>
        <v>168.8294152063319</v>
      </c>
      <c r="G40" s="551">
        <f t="shared" si="0"/>
        <v>4.4618536299999993</v>
      </c>
      <c r="H40" s="559">
        <f>G40*((B22*I22+B22)*J22+(B22*I22+B22))*1000</f>
        <v>592.41302931288737</v>
      </c>
      <c r="I40" s="549">
        <f>(C40-E40)*E10+E40</f>
        <v>8.9237072600000005</v>
      </c>
      <c r="J40" s="550">
        <f>I40*((C22*I22+C22)*J22+(C22*I22+C22))/1000</f>
        <v>415.68335504303593</v>
      </c>
      <c r="K40" s="551">
        <f t="shared" si="1"/>
        <v>63.329970771385113</v>
      </c>
      <c r="L40" s="550">
        <f>K40*((D22*I22+D22)*J22+(D22*J22+D22))*1000</f>
        <v>64410.678393033122</v>
      </c>
      <c r="M40" s="552">
        <f>B40*0.05</f>
        <v>3.389591220069256</v>
      </c>
      <c r="N40" s="553">
        <f>M40*((E22*I22+E22)*J22+(E22*J22+E22))*1000</f>
        <v>3447.4336131918371</v>
      </c>
      <c r="O40" s="551">
        <v>4.6580000000000004</v>
      </c>
      <c r="P40" s="550">
        <f>O40*((G22*I22+G22)*J22+(G22*J22+G22))/1000</f>
        <v>4357.7519112459095</v>
      </c>
      <c r="Q40" s="551">
        <f t="shared" si="2"/>
        <v>144.53036839025839</v>
      </c>
      <c r="R40" s="550">
        <f>Q40*((F22*I22+F22)*J22+(F22*J22+F22))/1000</f>
        <v>13743.21073594627</v>
      </c>
      <c r="S40" s="551">
        <f>'[2]Расчет объема ВР'!I11</f>
        <v>10.717339556073529</v>
      </c>
      <c r="T40" s="554">
        <f>S40*H22/1000</f>
        <v>2087.4411419393678</v>
      </c>
      <c r="U40" s="555">
        <f t="shared" si="5"/>
        <v>89054.612179712436</v>
      </c>
      <c r="V40" s="556"/>
      <c r="W40" s="555">
        <f t="shared" si="4"/>
        <v>1.39028195849317</v>
      </c>
      <c r="X40" s="520"/>
    </row>
    <row r="41" spans="1:25" ht="13.5" hidden="1" thickBot="1">
      <c r="A41" s="547" t="s">
        <v>19</v>
      </c>
      <c r="B41" s="558">
        <v>72.638738677993999</v>
      </c>
      <c r="C41" s="559">
        <v>98.100084830242224</v>
      </c>
      <c r="D41" s="559">
        <v>5.4511710799999999</v>
      </c>
      <c r="E41" s="559">
        <v>10.90234216</v>
      </c>
      <c r="F41" s="560">
        <f>C41*I6</f>
        <v>176.58015269443601</v>
      </c>
      <c r="G41" s="561">
        <f t="shared" si="0"/>
        <v>5.4511710799999999</v>
      </c>
      <c r="H41" s="559">
        <f>G41*((B23*I23+B23)*J23+(B23*I23+B23))*1000</f>
        <v>561.69826526158727</v>
      </c>
      <c r="I41" s="559">
        <f>(C41-E41)*E10+E41</f>
        <v>10.90234216</v>
      </c>
      <c r="J41" s="560">
        <f>I41*((C23*I23+C23)*J23+(C23*I23+C23))/1000</f>
        <v>507.85195592700325</v>
      </c>
      <c r="K41" s="561">
        <f t="shared" si="1"/>
        <v>67.187567597994004</v>
      </c>
      <c r="L41" s="560">
        <f>K41*((D23*I23+D23)*J23+(D23*J23+D23))*1000</f>
        <v>94642.559640379754</v>
      </c>
      <c r="M41" s="562">
        <f>B41*0.05</f>
        <v>3.6319369338997003</v>
      </c>
      <c r="N41" s="563">
        <f>M41*((E23*I23+E23)*J23+(E23*J23+E23))*1000</f>
        <v>5116.0626908446557</v>
      </c>
      <c r="O41" s="561">
        <v>5.5</v>
      </c>
      <c r="P41" s="560">
        <f>O41*((G23*I23+G23)*J23+(G23*J23+G23))/1000</f>
        <v>5835.2756940733034</v>
      </c>
      <c r="Q41" s="561">
        <f t="shared" si="2"/>
        <v>149.61927275588715</v>
      </c>
      <c r="R41" s="560">
        <f>Q41*((F23*I23+F23)*J23+(F23*J23+F23))/1000</f>
        <v>15534.735937870666</v>
      </c>
      <c r="S41" s="561">
        <f>'[2]Расчет объема ВР'!J11</f>
        <v>10.558537778548878</v>
      </c>
      <c r="T41" s="564">
        <f>S41*H23/1000</f>
        <v>2265.0304939113576</v>
      </c>
      <c r="U41" s="565">
        <f t="shared" si="5"/>
        <v>124463.21467826833</v>
      </c>
      <c r="V41" s="566"/>
      <c r="W41" s="565">
        <f t="shared" si="4"/>
        <v>1.8365550185621524</v>
      </c>
      <c r="X41" s="520"/>
    </row>
    <row r="42" spans="1:25" ht="13.5" hidden="1" thickBot="1">
      <c r="A42" s="524" t="s">
        <v>150</v>
      </c>
      <c r="B42" s="567">
        <v>206.06157004808773</v>
      </c>
      <c r="C42" s="567">
        <v>89.896795755944893</v>
      </c>
      <c r="D42" s="567">
        <v>14.95886576</v>
      </c>
      <c r="E42" s="567">
        <v>9.9725771733333328</v>
      </c>
      <c r="F42" s="567">
        <f>SUM(F39:F41)/3</f>
        <v>172.68288405447049</v>
      </c>
      <c r="G42" s="567">
        <f t="shared" si="0"/>
        <v>14.95886576</v>
      </c>
      <c r="H42" s="567">
        <f t="shared" ref="H42:R42" si="8">SUM(H39:H41)</f>
        <v>1336.7495820574154</v>
      </c>
      <c r="I42" s="567">
        <f>SUM(I39:I41)/3</f>
        <v>9.9725771733333328</v>
      </c>
      <c r="J42" s="567">
        <f t="shared" si="8"/>
        <v>1393.6251673313125</v>
      </c>
      <c r="K42" s="567">
        <f t="shared" si="8"/>
        <v>191.10270428808775</v>
      </c>
      <c r="L42" s="567">
        <f t="shared" si="8"/>
        <v>221833.18963475095</v>
      </c>
      <c r="M42" s="568">
        <f t="shared" si="8"/>
        <v>10.303078502404388</v>
      </c>
      <c r="N42" s="568">
        <f t="shared" si="8"/>
        <v>11963.925582856262</v>
      </c>
      <c r="O42" s="567">
        <f>SUM(O39:O41)/3</f>
        <v>4.8860000000000001</v>
      </c>
      <c r="P42" s="567">
        <f t="shared" si="8"/>
        <v>14299.794846779485</v>
      </c>
      <c r="Q42" s="567">
        <f t="shared" si="2"/>
        <v>147.2878454193303</v>
      </c>
      <c r="R42" s="567">
        <f t="shared" si="8"/>
        <v>42493.573928973427</v>
      </c>
      <c r="S42" s="567">
        <f>SUM(S39:S41)/3</f>
        <v>10.536461461806882</v>
      </c>
      <c r="T42" s="569">
        <f>SUM(T39:T41)</f>
        <v>6302.0549330060239</v>
      </c>
      <c r="U42" s="570">
        <f t="shared" si="5"/>
        <v>299622.91367575485</v>
      </c>
      <c r="V42" s="571"/>
      <c r="W42" s="570">
        <f t="shared" si="4"/>
        <v>1.5535758116682641</v>
      </c>
    </row>
    <row r="43" spans="1:25" hidden="1">
      <c r="A43" s="547" t="s">
        <v>20</v>
      </c>
      <c r="B43" s="548">
        <v>80.461501852914665</v>
      </c>
      <c r="C43" s="549">
        <v>100.25386813402297</v>
      </c>
      <c r="D43" s="549">
        <v>5.9631690200000005</v>
      </c>
      <c r="E43" s="549">
        <v>11.926338039999999</v>
      </c>
      <c r="F43" s="550">
        <f>C43*J6</f>
        <v>163.41380505845743</v>
      </c>
      <c r="G43" s="551">
        <f t="shared" si="0"/>
        <v>5.9631690200000005</v>
      </c>
      <c r="H43" s="559">
        <f>G43*((B24*I24+B24)*J24+(B24*I24+B24))*1000</f>
        <v>385.62590988826003</v>
      </c>
      <c r="I43" s="549">
        <f>(C43-E43)*E10+E43</f>
        <v>11.926338039999999</v>
      </c>
      <c r="J43" s="550">
        <f>I43*((C24*I24+C24)*J24+(C24*I24+C24))/1000</f>
        <v>585.67037691655514</v>
      </c>
      <c r="K43" s="551">
        <f>B43-G43</f>
        <v>74.49833283291467</v>
      </c>
      <c r="L43" s="550">
        <f>K43*((D24*I24+D24)*J24+(D24*J24+D24))*1000</f>
        <v>123990.69146410373</v>
      </c>
      <c r="M43" s="552">
        <f>B43*0.05</f>
        <v>4.0230750926457333</v>
      </c>
      <c r="N43" s="553">
        <f>M43*((E24*I24+E24)*J24+(E24*J24+E24))*1000</f>
        <v>6695.7721546322782</v>
      </c>
      <c r="O43" s="551">
        <v>3.9089999999999998</v>
      </c>
      <c r="P43" s="550">
        <f>O43*((G24*I24+G24)*J24+(G24*J24+G24))/1000</f>
        <v>4359.3886551553478</v>
      </c>
      <c r="Q43" s="551">
        <f t="shared" si="2"/>
        <v>138.05099978118753</v>
      </c>
      <c r="R43" s="550">
        <f>Q43*((F24*I24+F24)*J24+(F24*J24+F24))/1000</f>
        <v>15283.553058975822</v>
      </c>
      <c r="S43" s="551">
        <f>'[2]Расчет объема ВР'!K11</f>
        <v>9.5274672372699172</v>
      </c>
      <c r="T43" s="554">
        <f>S43*H24/1000</f>
        <v>2151.2675260241163</v>
      </c>
      <c r="U43" s="573">
        <f t="shared" si="5"/>
        <v>153451.96914569609</v>
      </c>
      <c r="V43" s="574"/>
      <c r="W43" s="573">
        <f t="shared" si="4"/>
        <v>2.0467662437611303</v>
      </c>
      <c r="X43" s="520"/>
    </row>
    <row r="44" spans="1:25" hidden="1">
      <c r="A44" s="547" t="s">
        <v>21</v>
      </c>
      <c r="B44" s="548">
        <v>60.915835346592964</v>
      </c>
      <c r="C44" s="549">
        <v>78.774982203357709</v>
      </c>
      <c r="D44" s="549">
        <v>6.479900119999999</v>
      </c>
      <c r="E44" s="549">
        <v>12.959800239999998</v>
      </c>
      <c r="F44" s="550">
        <f>C44*K6</f>
        <v>118.16247330503657</v>
      </c>
      <c r="G44" s="551">
        <f t="shared" si="0"/>
        <v>6.479900119999999</v>
      </c>
      <c r="H44" s="559">
        <f>G44*((B25*I25+B25)*J25+(B25*I25+B25))*1000</f>
        <v>1575.0409847358628</v>
      </c>
      <c r="I44" s="549">
        <f>(C44-E44)*E10+E44</f>
        <v>12.959800239999998</v>
      </c>
      <c r="J44" s="550">
        <f>I44*((C25*I25+C25)*J25+(C25*I25+C25))/1000</f>
        <v>639.75503397092768</v>
      </c>
      <c r="K44" s="551">
        <f t="shared" si="1"/>
        <v>54.435935226592967</v>
      </c>
      <c r="L44" s="550">
        <f>K44*((D25*I25+D25)*J25+(D25*J25+D25))*1000</f>
        <v>96720.549107230516</v>
      </c>
      <c r="M44" s="552">
        <f>B44*0.05</f>
        <v>3.0457917673296482</v>
      </c>
      <c r="N44" s="553">
        <f>M44*((E25*I25+E25)*J25+(E25*J25+E25))*1000</f>
        <v>5411.694517163226</v>
      </c>
      <c r="O44" s="551">
        <v>3.173</v>
      </c>
      <c r="P44" s="550">
        <f>O44*((G25*I25+G25)*J25+(G25*J25+G25))/1000</f>
        <v>3804.6997343428529</v>
      </c>
      <c r="Q44" s="551">
        <f t="shared" si="2"/>
        <v>96.451696558580778</v>
      </c>
      <c r="R44" s="550">
        <f>Q44*((F25*I25+F25)*J25+(F25*J25+F25))/1000</f>
        <v>11503.787270674862</v>
      </c>
      <c r="S44" s="551">
        <f>'[2]Расчет объема ВР'!L11</f>
        <v>5.5779765064557996</v>
      </c>
      <c r="T44" s="554">
        <f>S44*H25/1000</f>
        <v>1369.6775526944471</v>
      </c>
      <c r="U44" s="555">
        <f>H44+J44+L44+N44+P44+R44+T44</f>
        <v>121025.20420081269</v>
      </c>
      <c r="V44" s="556"/>
      <c r="W44" s="555">
        <f t="shared" si="4"/>
        <v>2.1825731052024766</v>
      </c>
      <c r="X44" s="520"/>
      <c r="Y44" s="520"/>
    </row>
    <row r="45" spans="1:25" ht="13.5" hidden="1" thickBot="1">
      <c r="A45" s="575" t="s">
        <v>22</v>
      </c>
      <c r="B45" s="576">
        <v>61.122216989613065</v>
      </c>
      <c r="C45" s="577">
        <v>76.763652890881033</v>
      </c>
      <c r="D45" s="577">
        <v>9.3079172099999994</v>
      </c>
      <c r="E45" s="577">
        <v>18.615834419999999</v>
      </c>
      <c r="F45" s="578">
        <f>C45*L6</f>
        <v>107.46911404723345</v>
      </c>
      <c r="G45" s="579">
        <f t="shared" si="0"/>
        <v>9.3079172099999994</v>
      </c>
      <c r="H45" s="559">
        <f>G45*((B26*I26+B26)*J26+(B26*I26+B26))*1000</f>
        <v>1263.3289625043196</v>
      </c>
      <c r="I45" s="577">
        <f>(C45-E45)*E10+E45</f>
        <v>18.615834419999999</v>
      </c>
      <c r="J45" s="578">
        <f>I45*((C26*I26+C26)*J26+(C26*I26+C26))/1000</f>
        <v>913.28478866449643</v>
      </c>
      <c r="K45" s="579">
        <f t="shared" si="1"/>
        <v>51.814299779613066</v>
      </c>
      <c r="L45" s="578">
        <f>K45*((D26*I26+D26)*J26+(D26*J26+D26))*1000</f>
        <v>94483.779629899873</v>
      </c>
      <c r="M45" s="580">
        <f>B45*0.05</f>
        <v>3.0561108494806533</v>
      </c>
      <c r="N45" s="581">
        <f>M45*((E26*I26+E26)*J26+(E26*J26+E26))*1000</f>
        <v>5572.8419616796464</v>
      </c>
      <c r="O45" s="579">
        <v>3.504</v>
      </c>
      <c r="P45" s="578">
        <f>O45*((G26*I26+G26)*J26+(G26*J26+G26))/1000</f>
        <v>4354.54798762269</v>
      </c>
      <c r="Q45" s="579">
        <f t="shared" si="2"/>
        <v>80.912424170801216</v>
      </c>
      <c r="R45" s="578">
        <f>Q45*((F26*I26+F26)*J26+(F26*J26+F26))/1000</f>
        <v>10365.727455530228</v>
      </c>
      <c r="S45" s="579">
        <f>'[2]Расчет объема ВР'!M11</f>
        <v>4.4368554564322285</v>
      </c>
      <c r="T45" s="582">
        <f>S45*H26/1000</f>
        <v>1165.9318325338108</v>
      </c>
      <c r="U45" s="565">
        <f t="shared" si="5"/>
        <v>118119.44261843506</v>
      </c>
      <c r="V45" s="566"/>
      <c r="W45" s="565">
        <f t="shared" si="4"/>
        <v>2.2376608264594413</v>
      </c>
      <c r="X45" s="520"/>
      <c r="Y45" s="520"/>
    </row>
    <row r="46" spans="1:25" ht="13.5" hidden="1" thickBot="1">
      <c r="A46" s="524" t="s">
        <v>151</v>
      </c>
      <c r="B46" s="583">
        <v>202.49955418912069</v>
      </c>
      <c r="C46" s="583">
        <v>85.264167742753898</v>
      </c>
      <c r="D46" s="583">
        <v>21.750986349999998</v>
      </c>
      <c r="E46" s="583">
        <v>14.500657566666666</v>
      </c>
      <c r="F46" s="583">
        <f>SUM(F43:F45)/3</f>
        <v>129.68179747024249</v>
      </c>
      <c r="G46" s="583">
        <f t="shared" si="0"/>
        <v>21.750986349999998</v>
      </c>
      <c r="H46" s="584">
        <f t="shared" ref="H46:R46" si="9">SUM(H43:H45)</f>
        <v>3223.9958571284424</v>
      </c>
      <c r="I46" s="583">
        <f>SUM(I43:I45)/3</f>
        <v>14.500657566666666</v>
      </c>
      <c r="J46" s="583">
        <f t="shared" si="9"/>
        <v>2138.7101995519793</v>
      </c>
      <c r="K46" s="583">
        <f t="shared" si="9"/>
        <v>180.74856783912071</v>
      </c>
      <c r="L46" s="583">
        <f t="shared" si="9"/>
        <v>315195.02020123415</v>
      </c>
      <c r="M46" s="585">
        <f t="shared" si="9"/>
        <v>10.124977709456035</v>
      </c>
      <c r="N46" s="585">
        <f t="shared" si="9"/>
        <v>17680.30863347515</v>
      </c>
      <c r="O46" s="583">
        <f>SUM(O43:O45)/3</f>
        <v>3.5286666666666666</v>
      </c>
      <c r="P46" s="583">
        <f t="shared" si="9"/>
        <v>12518.636377120891</v>
      </c>
      <c r="Q46" s="583">
        <f>SUM(Q43:Q45)/3</f>
        <v>105.13837350352317</v>
      </c>
      <c r="R46" s="583">
        <f t="shared" si="9"/>
        <v>37153.067785180916</v>
      </c>
      <c r="S46" s="583">
        <f>SUM(S43:S45)/3</f>
        <v>6.514099733385982</v>
      </c>
      <c r="T46" s="586">
        <f>SUM(T43:T45)</f>
        <v>4686.8769112523742</v>
      </c>
      <c r="U46" s="570">
        <f t="shared" si="5"/>
        <v>392596.61596494395</v>
      </c>
      <c r="V46" s="571"/>
      <c r="W46" s="570">
        <f t="shared" si="4"/>
        <v>2.1423899206378758</v>
      </c>
      <c r="Y46" s="520"/>
    </row>
    <row r="47" spans="1:25" ht="13.5" hidden="1" thickBot="1">
      <c r="A47" s="524" t="s">
        <v>152</v>
      </c>
      <c r="B47" s="567">
        <v>765.60375086835325</v>
      </c>
      <c r="C47" s="567">
        <v>82.851011121121402</v>
      </c>
      <c r="D47" s="567">
        <v>79.889751103999998</v>
      </c>
      <c r="E47" s="567">
        <v>13.3149585173333</v>
      </c>
      <c r="F47" s="567">
        <f>(F34+F38+F42+F46)/4</f>
        <v>142.86070154893173</v>
      </c>
      <c r="G47" s="567">
        <f t="shared" si="0"/>
        <v>79.889751103999998</v>
      </c>
      <c r="H47" s="567">
        <f t="shared" ref="H47:R47" si="10">H34+H38+H42+H46</f>
        <v>9976.6848177081047</v>
      </c>
      <c r="I47" s="567">
        <f>(I34+I38+I42+I46)/4</f>
        <v>13.314958517333334</v>
      </c>
      <c r="J47" s="567">
        <f t="shared" si="10"/>
        <v>6878.7613333791469</v>
      </c>
      <c r="K47" s="567">
        <f t="shared" si="10"/>
        <v>685.71399976435328</v>
      </c>
      <c r="L47" s="567">
        <f t="shared" si="10"/>
        <v>877071.11985181901</v>
      </c>
      <c r="M47" s="568">
        <f t="shared" si="10"/>
        <v>38.280187543417668</v>
      </c>
      <c r="N47" s="568">
        <f t="shared" si="10"/>
        <v>56511.207084503912</v>
      </c>
      <c r="O47" s="567">
        <f>(O34+O38+O42+O46)/4</f>
        <v>3.9846666666666666</v>
      </c>
      <c r="P47" s="567">
        <f t="shared" si="10"/>
        <v>51148.934943739609</v>
      </c>
      <c r="Q47" s="567">
        <f>(Q34+Q38+Q42+Q46)/4</f>
        <v>117.42557434792086</v>
      </c>
      <c r="R47" s="567">
        <f t="shared" si="10"/>
        <v>180907.01608547702</v>
      </c>
      <c r="S47" s="567">
        <f>(S34+S38+S42+S46)/4</f>
        <v>8.1355020170108698</v>
      </c>
      <c r="T47" s="569">
        <f>T34+T38+T42+T46</f>
        <v>21650.198569372638</v>
      </c>
      <c r="U47" s="587">
        <f>H47+J47+L47+N47+P47+R47+T47</f>
        <v>1204143.9226859994</v>
      </c>
      <c r="V47" s="588"/>
      <c r="W47" s="589">
        <f t="shared" si="4"/>
        <v>1.7314630836513849</v>
      </c>
    </row>
    <row r="48" spans="1:25">
      <c r="U48" s="520"/>
    </row>
    <row r="49" spans="1:21">
      <c r="A49" s="505">
        <v>2014</v>
      </c>
      <c r="B49" s="506" t="s">
        <v>263</v>
      </c>
      <c r="C49" s="506" t="s">
        <v>12</v>
      </c>
      <c r="D49" s="506" t="s">
        <v>13</v>
      </c>
      <c r="E49" s="506" t="s">
        <v>14</v>
      </c>
      <c r="F49" s="506" t="s">
        <v>15</v>
      </c>
      <c r="G49" s="506" t="s">
        <v>16</v>
      </c>
      <c r="H49" s="506" t="s">
        <v>17</v>
      </c>
      <c r="I49" s="506" t="s">
        <v>18</v>
      </c>
      <c r="J49" s="506" t="s">
        <v>19</v>
      </c>
      <c r="K49" s="506" t="s">
        <v>20</v>
      </c>
      <c r="L49" s="506" t="s">
        <v>21</v>
      </c>
      <c r="M49" s="506" t="s">
        <v>22</v>
      </c>
      <c r="N49" s="501"/>
    </row>
    <row r="50" spans="1:21" ht="25.5">
      <c r="A50" s="597" t="s">
        <v>264</v>
      </c>
      <c r="B50" s="505">
        <v>125.608</v>
      </c>
      <c r="C50" s="505">
        <v>123.033</v>
      </c>
      <c r="D50" s="28">
        <v>131.84100000000001</v>
      </c>
      <c r="E50" s="506">
        <v>152.43699999999998</v>
      </c>
      <c r="F50" s="506">
        <v>167.20099999999999</v>
      </c>
      <c r="G50" s="506">
        <v>172.18099999999998</v>
      </c>
      <c r="H50" s="598">
        <v>171.34799999999998</v>
      </c>
      <c r="I50" s="505">
        <v>196.36099999999996</v>
      </c>
      <c r="J50" s="598">
        <v>205.75700000000001</v>
      </c>
      <c r="K50" s="505">
        <v>188.61599999999999</v>
      </c>
      <c r="L50" s="598">
        <v>137.62800000000001</v>
      </c>
      <c r="M50" s="599">
        <v>134.68500000000003</v>
      </c>
      <c r="N50" s="591">
        <v>1906.6960000000001</v>
      </c>
      <c r="P50" s="591"/>
      <c r="R50" s="591"/>
      <c r="S50" s="591"/>
      <c r="T50" s="591"/>
      <c r="U50" s="520"/>
    </row>
    <row r="51" spans="1:21" ht="42.75" customHeight="1">
      <c r="A51" s="505" t="s">
        <v>265</v>
      </c>
      <c r="B51" s="506"/>
      <c r="C51" s="506"/>
      <c r="D51" s="506"/>
      <c r="E51" s="506"/>
      <c r="F51" s="506"/>
      <c r="G51" s="506"/>
      <c r="H51" s="505"/>
      <c r="I51" s="505"/>
      <c r="J51" s="505"/>
      <c r="K51" s="505"/>
      <c r="L51" s="505"/>
      <c r="M51" s="505"/>
    </row>
    <row r="52" spans="1:21">
      <c r="A52" s="505"/>
      <c r="B52" s="506"/>
      <c r="C52" s="506"/>
      <c r="D52" s="506"/>
      <c r="E52" s="506"/>
      <c r="F52" s="506"/>
      <c r="G52" s="506"/>
      <c r="H52" s="505"/>
      <c r="I52" s="505"/>
      <c r="J52" s="505"/>
      <c r="K52" s="505">
        <v>79.819999999999993</v>
      </c>
      <c r="L52" s="505">
        <v>60.51</v>
      </c>
      <c r="M52" s="505">
        <v>60.74</v>
      </c>
    </row>
    <row r="53" spans="1:21">
      <c r="A53" s="505"/>
      <c r="B53" s="506"/>
      <c r="C53" s="506"/>
      <c r="D53" s="506"/>
      <c r="E53" s="506"/>
      <c r="F53" s="506"/>
      <c r="G53" s="506"/>
      <c r="H53" s="505"/>
      <c r="I53" s="505"/>
      <c r="J53" s="505"/>
      <c r="K53" s="505">
        <v>71.2</v>
      </c>
      <c r="L53" s="505">
        <v>52.19</v>
      </c>
      <c r="M53" s="505">
        <v>52.42</v>
      </c>
    </row>
    <row r="54" spans="1:21">
      <c r="A54" s="505"/>
      <c r="B54" s="506"/>
      <c r="C54" s="506"/>
      <c r="D54" s="506"/>
      <c r="E54" s="506"/>
      <c r="F54" s="506"/>
      <c r="G54" s="506"/>
      <c r="H54" s="505"/>
      <c r="I54" s="505"/>
      <c r="J54" s="505"/>
      <c r="K54" s="505"/>
      <c r="L54" s="505"/>
      <c r="M54" s="505"/>
    </row>
    <row r="55" spans="1:21">
      <c r="A55" s="505" t="s">
        <v>267</v>
      </c>
      <c r="B55" s="506">
        <v>88.85</v>
      </c>
      <c r="C55" s="506">
        <v>86.02</v>
      </c>
      <c r="D55" s="506">
        <v>83.54</v>
      </c>
      <c r="E55" s="506">
        <v>84.02</v>
      </c>
      <c r="F55" s="506">
        <v>88.61</v>
      </c>
      <c r="G55" s="506">
        <v>90.19</v>
      </c>
      <c r="H55" s="505">
        <v>90.92</v>
      </c>
      <c r="I55" s="505">
        <v>93.19</v>
      </c>
      <c r="J55" s="505">
        <v>106.47</v>
      </c>
      <c r="K55" s="505">
        <v>111.99</v>
      </c>
      <c r="L55" s="505">
        <v>88.51</v>
      </c>
      <c r="M55" s="505">
        <v>88.94</v>
      </c>
    </row>
    <row r="56" spans="1:21">
      <c r="A56" s="505" t="s">
        <v>266</v>
      </c>
      <c r="B56" s="506">
        <v>76.47</v>
      </c>
      <c r="C56" s="506">
        <v>73.64</v>
      </c>
      <c r="D56" s="506">
        <v>74.39</v>
      </c>
      <c r="E56" s="506">
        <v>71.64</v>
      </c>
      <c r="F56" s="506">
        <v>76.23</v>
      </c>
      <c r="G56" s="506">
        <v>77.81</v>
      </c>
      <c r="H56" s="505">
        <v>78.540000000000006</v>
      </c>
      <c r="I56" s="505">
        <v>80.819999999999993</v>
      </c>
      <c r="J56" s="505">
        <v>94.1</v>
      </c>
      <c r="K56" s="505">
        <v>99.61</v>
      </c>
      <c r="L56" s="505">
        <v>76.14</v>
      </c>
      <c r="M56" s="505">
        <v>76.569999999999993</v>
      </c>
      <c r="O56" s="500">
        <v>720</v>
      </c>
    </row>
    <row r="57" spans="1:21">
      <c r="A57" s="505"/>
      <c r="B57" s="506"/>
      <c r="C57" s="506"/>
      <c r="D57" s="506"/>
      <c r="E57" s="506"/>
      <c r="F57" s="506"/>
      <c r="G57" s="506"/>
      <c r="H57" s="505"/>
      <c r="I57" s="505"/>
      <c r="J57" s="505"/>
      <c r="K57" s="505"/>
      <c r="L57" s="505"/>
      <c r="M57" s="505"/>
      <c r="O57" s="500">
        <v>744</v>
      </c>
    </row>
    <row r="58" spans="1:21">
      <c r="A58" s="505"/>
      <c r="B58" s="506">
        <v>92.47</v>
      </c>
      <c r="C58" s="506">
        <v>91.95</v>
      </c>
      <c r="D58" s="506">
        <v>84.69</v>
      </c>
      <c r="E58" s="506">
        <v>87.44</v>
      </c>
      <c r="F58" s="506">
        <v>92.44</v>
      </c>
      <c r="G58" s="506">
        <v>93.74</v>
      </c>
      <c r="H58" s="505">
        <v>89.14</v>
      </c>
      <c r="I58" s="505">
        <v>96.73</v>
      </c>
      <c r="J58" s="505">
        <v>108.83</v>
      </c>
      <c r="K58" s="505">
        <v>115.01</v>
      </c>
      <c r="L58" s="505">
        <v>96.06</v>
      </c>
      <c r="M58" s="505">
        <v>91.5</v>
      </c>
      <c r="O58" s="500">
        <v>696</v>
      </c>
    </row>
    <row r="59" spans="1:21">
      <c r="A59" s="505"/>
      <c r="B59" s="506">
        <v>63.1</v>
      </c>
      <c r="C59" s="506">
        <v>56.72</v>
      </c>
      <c r="D59" s="506">
        <v>57.33</v>
      </c>
      <c r="E59" s="506">
        <v>58.9</v>
      </c>
      <c r="F59" s="506">
        <v>65.319999999999993</v>
      </c>
      <c r="G59" s="506">
        <v>63.24</v>
      </c>
      <c r="H59" s="505">
        <v>62.97</v>
      </c>
      <c r="I59" s="505">
        <v>68.27</v>
      </c>
      <c r="J59" s="505">
        <v>74.209999999999994</v>
      </c>
      <c r="K59" s="505">
        <v>80.88</v>
      </c>
      <c r="L59" s="505">
        <v>64.36</v>
      </c>
      <c r="M59" s="505">
        <v>62.4</v>
      </c>
      <c r="O59" s="500">
        <v>672</v>
      </c>
    </row>
    <row r="60" spans="1:21" s="625" customFormat="1">
      <c r="B60" s="625">
        <f t="shared" ref="B60:M60" si="11">B59/B58</f>
        <v>0.68238347572185576</v>
      </c>
      <c r="C60" s="625">
        <f t="shared" si="11"/>
        <v>0.61685698749320284</v>
      </c>
      <c r="D60" s="625">
        <f t="shared" si="11"/>
        <v>0.67693942614240166</v>
      </c>
      <c r="E60" s="625">
        <f t="shared" si="11"/>
        <v>0.67360475754803295</v>
      </c>
      <c r="F60" s="625">
        <f t="shared" si="11"/>
        <v>0.70662051060147113</v>
      </c>
      <c r="G60" s="625">
        <f t="shared" si="11"/>
        <v>0.67463196074247922</v>
      </c>
      <c r="H60" s="625">
        <f t="shared" si="11"/>
        <v>0.70641687233565176</v>
      </c>
      <c r="I60" s="501">
        <f t="shared" si="11"/>
        <v>0.70577897239739473</v>
      </c>
      <c r="J60" s="501">
        <f t="shared" si="11"/>
        <v>0.68188918496738027</v>
      </c>
      <c r="K60" s="501">
        <f t="shared" si="11"/>
        <v>0.70324319624380482</v>
      </c>
      <c r="L60" s="501">
        <f t="shared" si="11"/>
        <v>0.66999791796793673</v>
      </c>
      <c r="M60" s="501">
        <f t="shared" si="11"/>
        <v>0.68196721311475406</v>
      </c>
      <c r="N60" s="501"/>
    </row>
    <row r="61" spans="1:21">
      <c r="H61" s="625"/>
      <c r="I61" s="501"/>
      <c r="J61" s="501"/>
      <c r="K61" s="501"/>
      <c r="L61" s="501"/>
      <c r="M61" s="501"/>
      <c r="N61" s="501"/>
    </row>
    <row r="62" spans="1:21">
      <c r="B62" s="501">
        <v>42.769399999999997</v>
      </c>
      <c r="C62" s="501">
        <v>42.508299999999998</v>
      </c>
      <c r="G62" s="501">
        <f t="shared" ref="G62:L62" si="12">G52/G55</f>
        <v>0</v>
      </c>
      <c r="H62" s="625">
        <f t="shared" si="12"/>
        <v>0</v>
      </c>
      <c r="I62" s="501">
        <f t="shared" si="12"/>
        <v>0</v>
      </c>
      <c r="J62" s="501">
        <f t="shared" si="12"/>
        <v>0</v>
      </c>
      <c r="K62" s="501">
        <f t="shared" si="12"/>
        <v>0.71274220912581476</v>
      </c>
      <c r="L62" s="501">
        <f t="shared" si="12"/>
        <v>0.68365156479493838</v>
      </c>
      <c r="M62" s="501">
        <f>M52/M55</f>
        <v>0.68293231391949638</v>
      </c>
      <c r="N62" s="501"/>
    </row>
    <row r="63" spans="1:21">
      <c r="B63" s="501">
        <v>47.504800000000003</v>
      </c>
      <c r="C63" s="501">
        <v>47.026899999999998</v>
      </c>
      <c r="G63" s="501">
        <f t="shared" ref="G63:L63" si="13">G53/G56</f>
        <v>0</v>
      </c>
      <c r="H63" s="625">
        <f t="shared" si="13"/>
        <v>0</v>
      </c>
      <c r="I63" s="501">
        <f t="shared" si="13"/>
        <v>0</v>
      </c>
      <c r="J63" s="501">
        <f t="shared" si="13"/>
        <v>0</v>
      </c>
      <c r="K63" s="501">
        <f t="shared" si="13"/>
        <v>0.71478767192048998</v>
      </c>
      <c r="L63" s="501">
        <f t="shared" si="13"/>
        <v>0.68544785920672446</v>
      </c>
      <c r="M63" s="501">
        <f>M53/M56</f>
        <v>0.68460232467023652</v>
      </c>
      <c r="N63" s="501"/>
    </row>
    <row r="64" spans="1:21">
      <c r="B64" s="501">
        <f>SUM(B62:B63)</f>
        <v>90.274200000000008</v>
      </c>
    </row>
    <row r="66" spans="1:13" ht="39" customHeight="1">
      <c r="A66" s="600" t="s">
        <v>38</v>
      </c>
      <c r="B66" s="501">
        <v>86.206000000000003</v>
      </c>
      <c r="C66" s="501">
        <v>86.394000000000005</v>
      </c>
      <c r="D66" s="501">
        <v>82.861999999999995</v>
      </c>
      <c r="E66" s="501">
        <v>86.197999999999993</v>
      </c>
      <c r="F66" s="501">
        <v>91.688000000000002</v>
      </c>
      <c r="G66" s="501">
        <v>90.968000000000004</v>
      </c>
      <c r="H66" s="500">
        <v>84.77</v>
      </c>
      <c r="I66" s="500">
        <v>98.247</v>
      </c>
      <c r="J66" s="500">
        <v>114.191</v>
      </c>
      <c r="K66" s="500">
        <v>111.78400000000001</v>
      </c>
      <c r="M66" s="500">
        <v>86.06</v>
      </c>
    </row>
  </sheetData>
  <mergeCells count="12">
    <mergeCell ref="W29:W30"/>
    <mergeCell ref="A2:N2"/>
    <mergeCell ref="B13:C13"/>
    <mergeCell ref="B29:F29"/>
    <mergeCell ref="G29:J29"/>
    <mergeCell ref="K29:L29"/>
    <mergeCell ref="M29:N29"/>
    <mergeCell ref="O29:P29"/>
    <mergeCell ref="Q29:R29"/>
    <mergeCell ref="S29:T29"/>
    <mergeCell ref="U29:U30"/>
    <mergeCell ref="V29:V3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="70" zoomScaleNormal="70" workbookViewId="0">
      <selection activeCell="A2" sqref="A2:B4"/>
    </sheetView>
  </sheetViews>
  <sheetFormatPr defaultRowHeight="15"/>
  <cols>
    <col min="13" max="13" width="2.140625" customWidth="1"/>
  </cols>
  <sheetData>
    <row r="1" spans="1:16">
      <c r="N1" s="636">
        <v>20.812000000000001</v>
      </c>
      <c r="O1">
        <v>16.226279999999999</v>
      </c>
      <c r="P1">
        <v>16.226279999999999</v>
      </c>
    </row>
    <row r="2" spans="1:16">
      <c r="N2" s="636"/>
    </row>
    <row r="3" spans="1:16">
      <c r="N3" s="636"/>
    </row>
    <row r="4" spans="1:16">
      <c r="A4" s="636"/>
      <c r="E4" s="637">
        <v>243.8391</v>
      </c>
      <c r="F4" s="31">
        <v>379.77019000000007</v>
      </c>
      <c r="H4" s="637">
        <v>37.372599999999998</v>
      </c>
      <c r="I4" s="31">
        <v>90.044809999999998</v>
      </c>
      <c r="K4" s="637">
        <v>426.27837999999991</v>
      </c>
      <c r="L4" s="31">
        <v>1267.9081899999999</v>
      </c>
      <c r="N4" s="636">
        <v>8.98048</v>
      </c>
      <c r="O4">
        <v>7.0017200000000006</v>
      </c>
      <c r="P4">
        <v>7.0017200000000006</v>
      </c>
    </row>
    <row r="5" spans="1:16">
      <c r="A5" s="636"/>
      <c r="N5" s="636"/>
    </row>
    <row r="6" spans="1:16">
      <c r="A6" s="637">
        <v>47.651269999999997</v>
      </c>
      <c r="B6" s="31">
        <v>106.91563000000001</v>
      </c>
      <c r="N6" s="636"/>
    </row>
    <row r="7" spans="1:16">
      <c r="A7" s="637">
        <v>25.37172</v>
      </c>
      <c r="B7" s="31">
        <v>56.815400000000004</v>
      </c>
      <c r="D7" s="637"/>
      <c r="E7" s="31">
        <v>767.52686000000006</v>
      </c>
      <c r="F7" s="637"/>
      <c r="G7" s="31">
        <v>1962.0730999999996</v>
      </c>
      <c r="N7" s="636"/>
    </row>
    <row r="8" spans="1:16">
      <c r="A8" s="636"/>
      <c r="D8" s="636"/>
      <c r="N8" s="636"/>
    </row>
    <row r="9" spans="1:16">
      <c r="A9" s="636">
        <v>1026.2342200000001</v>
      </c>
      <c r="B9">
        <v>2626.1382799999997</v>
      </c>
      <c r="D9" s="637">
        <v>4.4260000000000002</v>
      </c>
      <c r="E9" s="31">
        <v>11.327640000000001</v>
      </c>
      <c r="G9" s="637">
        <v>45.248809999999999</v>
      </c>
      <c r="H9" s="31">
        <v>115.80709000000002</v>
      </c>
      <c r="J9" s="637">
        <v>209.03255000000001</v>
      </c>
      <c r="K9" s="31">
        <v>536.93044999999995</v>
      </c>
      <c r="N9" s="636"/>
    </row>
    <row r="10" spans="1:16">
      <c r="A10" s="636"/>
      <c r="D10" s="636"/>
      <c r="G10" s="636"/>
      <c r="N10" s="636"/>
    </row>
    <row r="11" spans="1:16">
      <c r="A11" s="636">
        <v>459.74014</v>
      </c>
      <c r="B11">
        <v>1174.6130600000001</v>
      </c>
      <c r="D11" s="637">
        <v>17.661000000000001</v>
      </c>
      <c r="E11" s="31">
        <v>45.122979999999998</v>
      </c>
      <c r="G11" s="637">
        <v>43.860539999999993</v>
      </c>
      <c r="H11" s="31">
        <v>112.06147</v>
      </c>
      <c r="K11" s="637">
        <v>398.21859999999998</v>
      </c>
      <c r="L11" s="31">
        <v>1017.42861</v>
      </c>
      <c r="N11" s="636"/>
    </row>
    <row r="12" spans="1:16">
      <c r="A12" s="636"/>
      <c r="D12" s="636"/>
      <c r="N12" s="636"/>
    </row>
    <row r="13" spans="1:16">
      <c r="A13" s="637">
        <v>54.801000000000002</v>
      </c>
      <c r="B13" s="31">
        <v>105.2086</v>
      </c>
      <c r="D13" s="637">
        <v>132.54158999999999</v>
      </c>
      <c r="E13" s="31">
        <v>253.87546</v>
      </c>
      <c r="F13" s="31"/>
      <c r="N13" s="636">
        <v>2.7096999999999998</v>
      </c>
      <c r="O13">
        <v>2.1126399999999999</v>
      </c>
      <c r="P13">
        <v>2.1126399999999999</v>
      </c>
    </row>
    <row r="14" spans="1:16">
      <c r="A14" s="637"/>
      <c r="B14" s="31"/>
      <c r="D14" s="636"/>
      <c r="N14" s="636"/>
    </row>
    <row r="15" spans="1:16">
      <c r="A15" s="637"/>
      <c r="B15" s="31"/>
      <c r="D15" s="636"/>
      <c r="I15" s="637">
        <v>4.5910000000000002</v>
      </c>
      <c r="J15" s="31"/>
      <c r="K15" s="31">
        <v>11.08161</v>
      </c>
      <c r="N15" s="636"/>
    </row>
    <row r="16" spans="1:16">
      <c r="A16" s="637">
        <v>10.8</v>
      </c>
      <c r="B16" s="31">
        <v>20.734159999999999</v>
      </c>
      <c r="D16" s="636"/>
      <c r="I16" s="637">
        <v>127.00785</v>
      </c>
      <c r="J16" s="31"/>
      <c r="K16" s="31">
        <v>306.56774000000013</v>
      </c>
      <c r="N16" s="636">
        <v>17.4191</v>
      </c>
      <c r="O16">
        <v>13.58098</v>
      </c>
      <c r="P16">
        <v>13.58098</v>
      </c>
    </row>
    <row r="17" spans="1:16">
      <c r="A17" s="636"/>
      <c r="D17" s="636"/>
      <c r="N17" s="636"/>
    </row>
    <row r="18" spans="1:16">
      <c r="A18" s="636">
        <v>570.49522000000002</v>
      </c>
      <c r="B18" s="463">
        <v>227.38060999999999</v>
      </c>
      <c r="C18" s="638">
        <v>343.11461000000003</v>
      </c>
      <c r="D18" s="463"/>
      <c r="E18" s="463">
        <v>1377.0442600000001</v>
      </c>
      <c r="F18" s="463">
        <v>556.08579000000009</v>
      </c>
      <c r="G18" s="638">
        <v>820.95847000000003</v>
      </c>
      <c r="N18" s="636"/>
    </row>
    <row r="19" spans="1:16">
      <c r="D19" s="636"/>
      <c r="N19" s="636">
        <v>145.80079999999998</v>
      </c>
      <c r="O19">
        <v>113.67505</v>
      </c>
    </row>
    <row r="20" spans="1:16">
      <c r="D20" s="636"/>
      <c r="N20" s="636"/>
    </row>
    <row r="21" spans="1:16">
      <c r="D21" s="636" t="s">
        <v>272</v>
      </c>
      <c r="F21" t="s">
        <v>273</v>
      </c>
      <c r="N21" s="636"/>
    </row>
    <row r="22" spans="1:16">
      <c r="D22" s="637">
        <v>95.781760000000006</v>
      </c>
      <c r="E22" s="31"/>
      <c r="F22" s="31">
        <v>238.43644</v>
      </c>
      <c r="N22" s="636"/>
    </row>
    <row r="23" spans="1:16">
      <c r="D23" s="31"/>
      <c r="E23" s="31"/>
      <c r="F23" s="31"/>
      <c r="N23" s="636"/>
    </row>
    <row r="24" spans="1:16">
      <c r="N24" s="636"/>
    </row>
    <row r="25" spans="1:16">
      <c r="N25" s="636">
        <v>18.960600000000003</v>
      </c>
      <c r="O25">
        <v>14.782819999999999</v>
      </c>
      <c r="P25">
        <v>14.782819999999999</v>
      </c>
    </row>
    <row r="26" spans="1:16">
      <c r="N26" s="636"/>
    </row>
    <row r="27" spans="1:16">
      <c r="N27" s="636"/>
    </row>
    <row r="28" spans="1:16">
      <c r="N28" s="636"/>
    </row>
    <row r="29" spans="1:16">
      <c r="N29" s="636"/>
    </row>
    <row r="30" spans="1:16">
      <c r="N30" s="636"/>
    </row>
    <row r="31" spans="1:16">
      <c r="N31" s="636">
        <v>11.9963</v>
      </c>
      <c r="O31">
        <v>9.35304</v>
      </c>
      <c r="P31">
        <v>9.35304</v>
      </c>
    </row>
    <row r="32" spans="1:16">
      <c r="N32" s="636"/>
    </row>
    <row r="33" spans="14:16">
      <c r="N33" s="636"/>
    </row>
    <row r="34" spans="14:16">
      <c r="N34" s="636"/>
    </row>
    <row r="35" spans="14:16">
      <c r="N35" s="636"/>
    </row>
    <row r="36" spans="14:16">
      <c r="N36" s="636"/>
    </row>
    <row r="37" spans="14:16">
      <c r="N37" s="636"/>
    </row>
    <row r="38" spans="14:16">
      <c r="N38" s="636"/>
    </row>
    <row r="39" spans="14:16">
      <c r="N39" s="636" t="s">
        <v>271</v>
      </c>
    </row>
    <row r="40" spans="14:16">
      <c r="N40" s="636">
        <v>81.530190000000005</v>
      </c>
      <c r="O40">
        <v>51.129180000000005</v>
      </c>
      <c r="P40">
        <v>22.110690000000002</v>
      </c>
    </row>
    <row r="42" spans="14:16">
      <c r="P42">
        <f>O40-P40</f>
        <v>29.018490000000003</v>
      </c>
    </row>
    <row r="43" spans="14:16">
      <c r="P43">
        <f>P42*1.18</f>
        <v>34.241818200000004</v>
      </c>
    </row>
    <row r="53" spans="14:17">
      <c r="N53">
        <v>308.20916999999997</v>
      </c>
      <c r="O53">
        <v>227.86171000000002</v>
      </c>
      <c r="Q53">
        <v>227861.71000000002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3"/>
  <sheetViews>
    <sheetView zoomScale="80" zoomScaleNormal="80" workbookViewId="0">
      <selection activeCell="C20" sqref="C20"/>
    </sheetView>
  </sheetViews>
  <sheetFormatPr defaultRowHeight="12"/>
  <cols>
    <col min="1" max="1" width="11.140625" style="10" customWidth="1"/>
    <col min="2" max="2" width="10.140625" style="10" customWidth="1"/>
    <col min="3" max="26" width="11" style="10" bestFit="1" customWidth="1"/>
    <col min="27" max="16384" width="9.140625" style="10"/>
  </cols>
  <sheetData>
    <row r="2" spans="1:26" ht="19.5" customHeight="1">
      <c r="A2" s="794" t="s">
        <v>28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</row>
    <row r="3" spans="1:26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6">
      <c r="A4" s="791"/>
      <c r="B4" s="792"/>
      <c r="C4" s="11" t="s">
        <v>2</v>
      </c>
      <c r="D4" s="11" t="s">
        <v>3</v>
      </c>
      <c r="E4" s="11" t="s">
        <v>4</v>
      </c>
      <c r="F4" s="11" t="s">
        <v>5</v>
      </c>
      <c r="G4" s="11" t="s">
        <v>2</v>
      </c>
      <c r="H4" s="11" t="s">
        <v>3</v>
      </c>
      <c r="I4" s="11" t="s">
        <v>4</v>
      </c>
      <c r="J4" s="11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6" ht="24">
      <c r="A5" s="14" t="s">
        <v>6</v>
      </c>
      <c r="B5" s="15" t="s">
        <v>7</v>
      </c>
      <c r="C5" s="17">
        <v>1690.0713078001222</v>
      </c>
      <c r="D5" s="17">
        <v>1996.1053578001222</v>
      </c>
      <c r="E5" s="17">
        <v>2156.7991578001224</v>
      </c>
      <c r="F5" s="17">
        <v>2294.356707800122</v>
      </c>
      <c r="G5" s="17">
        <v>1498.3300403839157</v>
      </c>
      <c r="H5" s="17">
        <v>1804.3640903839155</v>
      </c>
      <c r="I5" s="17">
        <v>1965.0578903839157</v>
      </c>
      <c r="J5" s="17">
        <v>2102.6154403839159</v>
      </c>
      <c r="K5" s="17">
        <v>1417.1741657385794</v>
      </c>
      <c r="L5" s="17">
        <v>1723.2082157385792</v>
      </c>
      <c r="M5" s="17">
        <v>1883.9020157385794</v>
      </c>
      <c r="N5" s="17">
        <v>2021.4595657385794</v>
      </c>
      <c r="O5" s="17">
        <v>1565.744400845203</v>
      </c>
      <c r="P5" s="17">
        <v>1871.7784508452032</v>
      </c>
      <c r="Q5" s="17">
        <v>2032.4722508452032</v>
      </c>
      <c r="R5" s="17">
        <v>2170.0298008452032</v>
      </c>
      <c r="S5" s="17">
        <v>1255.4372351550837</v>
      </c>
      <c r="T5" s="17">
        <v>1561.4712851550835</v>
      </c>
      <c r="U5" s="17">
        <v>1722.1650851550835</v>
      </c>
      <c r="V5" s="17">
        <v>1859.7226351550835</v>
      </c>
      <c r="W5" s="17">
        <v>1133.5285155513855</v>
      </c>
      <c r="X5" s="17">
        <v>1439.5625655513854</v>
      </c>
      <c r="Y5" s="17">
        <v>1600.2563655513854</v>
      </c>
      <c r="Z5" s="17">
        <v>1737.8139155513854</v>
      </c>
    </row>
    <row r="6" spans="1:26" ht="24">
      <c r="A6" s="14" t="s">
        <v>8</v>
      </c>
      <c r="B6" s="15" t="s">
        <v>7</v>
      </c>
      <c r="C6" s="17">
        <v>1683.0353549922472</v>
      </c>
      <c r="D6" s="17">
        <v>1989.0694049922472</v>
      </c>
      <c r="E6" s="17">
        <v>2149.7632049922472</v>
      </c>
      <c r="F6" s="17">
        <v>2287.3207549922472</v>
      </c>
      <c r="G6" s="17">
        <v>1492.2892635114529</v>
      </c>
      <c r="H6" s="17">
        <v>1798.3233135114526</v>
      </c>
      <c r="I6" s="17">
        <v>1959.0171135114529</v>
      </c>
      <c r="J6" s="17">
        <v>2096.5746635114529</v>
      </c>
      <c r="K6" s="17">
        <v>1411.5540413899582</v>
      </c>
      <c r="L6" s="17">
        <v>1717.588091389958</v>
      </c>
      <c r="M6" s="17">
        <v>1878.281891389958</v>
      </c>
      <c r="N6" s="17">
        <v>2015.8394413899582</v>
      </c>
      <c r="O6" s="17">
        <v>1559.3519649040577</v>
      </c>
      <c r="P6" s="17">
        <v>1865.3860149040577</v>
      </c>
      <c r="Q6" s="17">
        <v>2026.0798149040575</v>
      </c>
      <c r="R6" s="17">
        <v>2163.6373649040574</v>
      </c>
      <c r="S6" s="17">
        <v>1250.6560936984308</v>
      </c>
      <c r="T6" s="17">
        <v>1556.6901436984308</v>
      </c>
      <c r="U6" s="17">
        <v>1717.383943698431</v>
      </c>
      <c r="V6" s="17">
        <v>1854.9414936984308</v>
      </c>
      <c r="W6" s="17">
        <v>1129.3807155513855</v>
      </c>
      <c r="X6" s="17">
        <v>1435.4147655513857</v>
      </c>
      <c r="Y6" s="17">
        <v>1596.1085655513857</v>
      </c>
      <c r="Z6" s="17">
        <v>1733.6661155513857</v>
      </c>
    </row>
    <row r="7" spans="1:26" ht="24">
      <c r="A7" s="14" t="s">
        <v>9</v>
      </c>
      <c r="B7" s="15" t="s">
        <v>7</v>
      </c>
      <c r="C7" s="17">
        <v>1642.0540158305889</v>
      </c>
      <c r="D7" s="17">
        <v>1948.0880658305889</v>
      </c>
      <c r="E7" s="17">
        <v>2108.7818658305891</v>
      </c>
      <c r="F7" s="17">
        <v>2246.3394158305891</v>
      </c>
      <c r="G7" s="17">
        <v>1457.1043876928968</v>
      </c>
      <c r="H7" s="17">
        <v>1763.138437692897</v>
      </c>
      <c r="I7" s="17">
        <v>1923.832237692897</v>
      </c>
      <c r="J7" s="17">
        <v>2061.3897876928972</v>
      </c>
      <c r="K7" s="17">
        <v>1378.8192820260585</v>
      </c>
      <c r="L7" s="17">
        <v>1684.8533320260585</v>
      </c>
      <c r="M7" s="17">
        <v>1845.5471320260588</v>
      </c>
      <c r="N7" s="17">
        <v>1983.104682026059</v>
      </c>
      <c r="O7" s="17">
        <v>1522.118829246858</v>
      </c>
      <c r="P7" s="17">
        <v>1828.1528792468584</v>
      </c>
      <c r="Q7" s="17">
        <v>1988.8466792468585</v>
      </c>
      <c r="R7" s="17">
        <v>2126.4042292468584</v>
      </c>
      <c r="S7" s="17">
        <v>1222.8080417052954</v>
      </c>
      <c r="T7" s="17">
        <v>1528.8420917052954</v>
      </c>
      <c r="U7" s="17">
        <v>1689.5358917052956</v>
      </c>
      <c r="V7" s="17">
        <v>1827.0934417052954</v>
      </c>
      <c r="W7" s="17">
        <v>1105.2521155513855</v>
      </c>
      <c r="X7" s="17">
        <v>1411.2861655513855</v>
      </c>
      <c r="Y7" s="17">
        <v>1571.9799655513857</v>
      </c>
      <c r="Z7" s="17">
        <v>1709.5375155513855</v>
      </c>
    </row>
    <row r="8" spans="1:26" ht="24">
      <c r="A8" s="14" t="s">
        <v>10</v>
      </c>
      <c r="B8" s="15" t="s">
        <v>7</v>
      </c>
      <c r="C8" s="17">
        <v>1608.8492560881612</v>
      </c>
      <c r="D8" s="17">
        <v>1914.8833060881609</v>
      </c>
      <c r="E8" s="17">
        <v>2075.5771060881611</v>
      </c>
      <c r="F8" s="17">
        <v>2213.1346560881611</v>
      </c>
      <c r="G8" s="17">
        <v>1428.5961599965372</v>
      </c>
      <c r="H8" s="17">
        <v>1734.6302099965369</v>
      </c>
      <c r="I8" s="17">
        <v>1895.3240099965369</v>
      </c>
      <c r="J8" s="17">
        <v>2032.8815599965371</v>
      </c>
      <c r="K8" s="17">
        <v>1352.2962390474777</v>
      </c>
      <c r="L8" s="17">
        <v>1658.3302890474774</v>
      </c>
      <c r="M8" s="17">
        <v>1819.0240890474774</v>
      </c>
      <c r="N8" s="17">
        <v>1956.5816390474777</v>
      </c>
      <c r="O8" s="17">
        <v>1491.9510175246094</v>
      </c>
      <c r="P8" s="17">
        <v>1797.9850675246096</v>
      </c>
      <c r="Q8" s="17">
        <v>1958.6788675246096</v>
      </c>
      <c r="R8" s="17">
        <v>2096.2364175246094</v>
      </c>
      <c r="S8" s="17">
        <v>1200.2444092168814</v>
      </c>
      <c r="T8" s="17">
        <v>1506.2784592168814</v>
      </c>
      <c r="U8" s="17">
        <v>1666.9722592168816</v>
      </c>
      <c r="V8" s="17">
        <v>1804.5298092168814</v>
      </c>
      <c r="W8" s="17">
        <v>1085.7061655513855</v>
      </c>
      <c r="X8" s="17">
        <v>1391.7402155513855</v>
      </c>
      <c r="Y8" s="17">
        <v>1552.4340155513858</v>
      </c>
      <c r="Z8" s="17">
        <v>1689.9915655513855</v>
      </c>
    </row>
    <row r="9" spans="1:26" ht="15.75" customHeight="1">
      <c r="A9" s="788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3" t="s">
        <v>21</v>
      </c>
      <c r="T9" s="793"/>
      <c r="U9" s="793"/>
      <c r="V9" s="793"/>
      <c r="W9" s="793" t="s">
        <v>22</v>
      </c>
      <c r="X9" s="793"/>
      <c r="Y9" s="793"/>
      <c r="Z9" s="793"/>
    </row>
    <row r="10" spans="1:26">
      <c r="A10" s="791"/>
      <c r="B10" s="792"/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2</v>
      </c>
      <c r="H10" s="11" t="s">
        <v>3</v>
      </c>
      <c r="I10" s="11" t="s">
        <v>4</v>
      </c>
      <c r="J10" s="11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13" t="s">
        <v>5</v>
      </c>
    </row>
    <row r="11" spans="1:26" ht="24">
      <c r="A11" s="14" t="s">
        <v>6</v>
      </c>
      <c r="B11" s="15" t="s">
        <v>7</v>
      </c>
      <c r="C11" s="17">
        <v>1153.4441015471352</v>
      </c>
      <c r="D11" s="17">
        <v>1459.4781515471352</v>
      </c>
      <c r="E11" s="17">
        <v>1620.1719515471352</v>
      </c>
      <c r="F11" s="17">
        <v>1757.7295015471354</v>
      </c>
      <c r="G11" s="17">
        <v>1473.2602663089981</v>
      </c>
      <c r="H11" s="17">
        <v>1779.2943163089985</v>
      </c>
      <c r="I11" s="17">
        <v>1939.9881163089983</v>
      </c>
      <c r="J11" s="17">
        <v>2077.5456663089981</v>
      </c>
      <c r="K11" s="17">
        <v>1436.2385440784567</v>
      </c>
      <c r="L11" s="17">
        <v>1742.2725940784569</v>
      </c>
      <c r="M11" s="17">
        <v>1902.9663940784567</v>
      </c>
      <c r="N11" s="17">
        <v>2040.5239440784567</v>
      </c>
      <c r="O11" s="17">
        <v>1356.0946900897416</v>
      </c>
      <c r="P11" s="17">
        <v>1662.1287400897415</v>
      </c>
      <c r="Q11" s="17">
        <v>1822.8225400897418</v>
      </c>
      <c r="R11" s="17">
        <v>1960.3800900897415</v>
      </c>
      <c r="S11" s="17">
        <v>1738.4402063624721</v>
      </c>
      <c r="T11" s="17">
        <v>2044.4742563624723</v>
      </c>
      <c r="U11" s="17">
        <v>2205.1680563624723</v>
      </c>
      <c r="V11" s="17">
        <v>2342.7256063624718</v>
      </c>
      <c r="W11" s="17">
        <v>1816.3977992071659</v>
      </c>
      <c r="X11" s="17">
        <v>2122.4318492071652</v>
      </c>
      <c r="Y11" s="17">
        <v>2283.1256492071657</v>
      </c>
      <c r="Z11" s="17">
        <v>2420.6831992071661</v>
      </c>
    </row>
    <row r="12" spans="1:26" ht="24">
      <c r="A12" s="14" t="s">
        <v>8</v>
      </c>
      <c r="B12" s="15" t="s">
        <v>7</v>
      </c>
      <c r="C12" s="17">
        <v>1145.5499015471353</v>
      </c>
      <c r="D12" s="17">
        <v>1451.5839515471353</v>
      </c>
      <c r="E12" s="17">
        <v>1612.2777515471355</v>
      </c>
      <c r="F12" s="17">
        <v>1749.8353015471355</v>
      </c>
      <c r="G12" s="17">
        <v>1462.2775163089982</v>
      </c>
      <c r="H12" s="17">
        <v>1768.3115663089986</v>
      </c>
      <c r="I12" s="17">
        <v>1929.0053663089984</v>
      </c>
      <c r="J12" s="17">
        <v>2066.5629163089984</v>
      </c>
      <c r="K12" s="17">
        <v>1430.5178041748761</v>
      </c>
      <c r="L12" s="17">
        <v>1736.5518541748763</v>
      </c>
      <c r="M12" s="17">
        <v>1897.2456541748763</v>
      </c>
      <c r="N12" s="17">
        <v>2034.8032041748761</v>
      </c>
      <c r="O12" s="17">
        <v>1350.7960572913366</v>
      </c>
      <c r="P12" s="17">
        <v>1656.8301072913366</v>
      </c>
      <c r="Q12" s="17">
        <v>1817.5239072913366</v>
      </c>
      <c r="R12" s="17">
        <v>1955.0814572913364</v>
      </c>
      <c r="S12" s="17">
        <v>1731.1598108831292</v>
      </c>
      <c r="T12" s="17">
        <v>2037.1938608831294</v>
      </c>
      <c r="U12" s="17">
        <v>2197.8876608831292</v>
      </c>
      <c r="V12" s="17">
        <v>2335.4452108831288</v>
      </c>
      <c r="W12" s="17">
        <v>1808.7090852441443</v>
      </c>
      <c r="X12" s="17">
        <v>2114.743135244144</v>
      </c>
      <c r="Y12" s="17">
        <v>2275.436935244144</v>
      </c>
      <c r="Z12" s="17">
        <v>2412.9944852441445</v>
      </c>
    </row>
    <row r="13" spans="1:26" ht="24">
      <c r="A13" s="14" t="s">
        <v>9</v>
      </c>
      <c r="B13" s="15" t="s">
        <v>7</v>
      </c>
      <c r="C13" s="17">
        <v>1098.4969015471354</v>
      </c>
      <c r="D13" s="17">
        <v>1404.5309515471351</v>
      </c>
      <c r="E13" s="17">
        <v>1565.2247515471354</v>
      </c>
      <c r="F13" s="17">
        <v>1702.7823015471354</v>
      </c>
      <c r="G13" s="17">
        <v>1396.7712663089983</v>
      </c>
      <c r="H13" s="17">
        <v>1702.8053163089985</v>
      </c>
      <c r="I13" s="17">
        <v>1863.4991163089985</v>
      </c>
      <c r="J13" s="17">
        <v>2001.0566663089983</v>
      </c>
      <c r="K13" s="17">
        <v>1397.1970033329681</v>
      </c>
      <c r="L13" s="17">
        <v>1703.231053332968</v>
      </c>
      <c r="M13" s="17">
        <v>1863.924853332968</v>
      </c>
      <c r="N13" s="17">
        <v>2001.4824033329678</v>
      </c>
      <c r="O13" s="17">
        <v>1319.9338452023808</v>
      </c>
      <c r="P13" s="17">
        <v>1625.9678952023808</v>
      </c>
      <c r="Q13" s="17">
        <v>1786.6616952023808</v>
      </c>
      <c r="R13" s="17">
        <v>1924.2192452023808</v>
      </c>
      <c r="S13" s="17">
        <v>1688.754700371868</v>
      </c>
      <c r="T13" s="17">
        <v>1994.7887503718684</v>
      </c>
      <c r="U13" s="17">
        <v>2155.4825503718685</v>
      </c>
      <c r="V13" s="17">
        <v>2293.040100371868</v>
      </c>
      <c r="W13" s="17">
        <v>1763.9256986525095</v>
      </c>
      <c r="X13" s="17">
        <v>2069.959748652509</v>
      </c>
      <c r="Y13" s="17">
        <v>2230.6535486525095</v>
      </c>
      <c r="Z13" s="17">
        <v>2368.2110986525099</v>
      </c>
    </row>
    <row r="14" spans="1:26" ht="24">
      <c r="A14" s="14" t="s">
        <v>10</v>
      </c>
      <c r="B14" s="15" t="s">
        <v>7</v>
      </c>
      <c r="C14" s="17">
        <v>1060.5534515471354</v>
      </c>
      <c r="D14" s="17">
        <v>1366.5875015471352</v>
      </c>
      <c r="E14" s="17">
        <v>1527.2813015471354</v>
      </c>
      <c r="F14" s="17">
        <v>1664.8388515471356</v>
      </c>
      <c r="G14" s="17">
        <v>1343.9537163089981</v>
      </c>
      <c r="H14" s="17">
        <v>1649.9877663089983</v>
      </c>
      <c r="I14" s="17">
        <v>1810.6815663089983</v>
      </c>
      <c r="J14" s="17">
        <v>1948.2391163089981</v>
      </c>
      <c r="K14" s="17">
        <v>1370.1991255423857</v>
      </c>
      <c r="L14" s="17">
        <v>1676.2331755423861</v>
      </c>
      <c r="M14" s="17">
        <v>1836.9269755423859</v>
      </c>
      <c r="N14" s="17">
        <v>1974.4845255423859</v>
      </c>
      <c r="O14" s="17">
        <v>1294.9280167327147</v>
      </c>
      <c r="P14" s="17">
        <v>1600.9620667327147</v>
      </c>
      <c r="Q14" s="17">
        <v>1761.6558667327149</v>
      </c>
      <c r="R14" s="17">
        <v>1899.2134167327147</v>
      </c>
      <c r="S14" s="17">
        <v>1654.3963427588283</v>
      </c>
      <c r="T14" s="17">
        <v>1960.4303927588285</v>
      </c>
      <c r="U14" s="17">
        <v>2121.1241927588285</v>
      </c>
      <c r="V14" s="17">
        <v>2258.6817427588285</v>
      </c>
      <c r="W14" s="17">
        <v>1727.6403643357933</v>
      </c>
      <c r="X14" s="17">
        <v>2033.674414335793</v>
      </c>
      <c r="Y14" s="17">
        <v>2194.3682143357933</v>
      </c>
      <c r="Z14" s="17">
        <v>2331.9257643357937</v>
      </c>
    </row>
    <row r="16" spans="1:26" ht="57" customHeight="1">
      <c r="A16" s="794" t="s">
        <v>29</v>
      </c>
      <c r="B16" s="795"/>
      <c r="C16" s="795"/>
      <c r="D16" s="795"/>
      <c r="E16" s="795"/>
      <c r="F16" s="795"/>
      <c r="G16" s="795"/>
      <c r="H16" s="795"/>
      <c r="I16" s="795"/>
      <c r="J16" s="795"/>
      <c r="K16" s="795"/>
      <c r="L16" s="795"/>
      <c r="M16" s="795"/>
      <c r="N16" s="795"/>
      <c r="O16" s="795"/>
      <c r="P16" s="795"/>
      <c r="Q16" s="795"/>
      <c r="R16" s="795"/>
      <c r="S16" s="795"/>
      <c r="T16" s="795"/>
      <c r="U16" s="795"/>
      <c r="V16" s="795"/>
      <c r="W16" s="795"/>
      <c r="X16" s="795"/>
      <c r="Y16" s="795"/>
      <c r="Z16" s="795"/>
    </row>
    <row r="17" spans="1:26" ht="15" customHeight="1">
      <c r="A17" s="788" t="s">
        <v>26</v>
      </c>
      <c r="B17" s="790"/>
      <c r="C17" s="793" t="s">
        <v>11</v>
      </c>
      <c r="D17" s="793"/>
      <c r="E17" s="793"/>
      <c r="F17" s="793"/>
      <c r="G17" s="793" t="s">
        <v>12</v>
      </c>
      <c r="H17" s="793"/>
      <c r="I17" s="793"/>
      <c r="J17" s="793"/>
      <c r="K17" s="788" t="s">
        <v>13</v>
      </c>
      <c r="L17" s="789"/>
      <c r="M17" s="789"/>
      <c r="N17" s="790"/>
      <c r="O17" s="788" t="s">
        <v>14</v>
      </c>
      <c r="P17" s="789"/>
      <c r="Q17" s="789"/>
      <c r="R17" s="790"/>
      <c r="S17" s="788" t="s">
        <v>15</v>
      </c>
      <c r="T17" s="789"/>
      <c r="U17" s="789"/>
      <c r="V17" s="790"/>
      <c r="W17" s="788" t="s">
        <v>16</v>
      </c>
      <c r="X17" s="789"/>
      <c r="Y17" s="789"/>
      <c r="Z17" s="790"/>
    </row>
    <row r="18" spans="1:26">
      <c r="A18" s="791"/>
      <c r="B18" s="792"/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2</v>
      </c>
      <c r="H18" s="11" t="s">
        <v>3</v>
      </c>
      <c r="I18" s="11" t="s">
        <v>4</v>
      </c>
      <c r="J18" s="11" t="s">
        <v>5</v>
      </c>
      <c r="K18" s="12" t="s">
        <v>2</v>
      </c>
      <c r="L18" s="12" t="s">
        <v>3</v>
      </c>
      <c r="M18" s="12" t="s">
        <v>4</v>
      </c>
      <c r="N18" s="12" t="s">
        <v>5</v>
      </c>
      <c r="O18" s="13" t="s">
        <v>2</v>
      </c>
      <c r="P18" s="13" t="s">
        <v>3</v>
      </c>
      <c r="Q18" s="13" t="s">
        <v>4</v>
      </c>
      <c r="R18" s="13" t="s">
        <v>5</v>
      </c>
      <c r="S18" s="12" t="s">
        <v>2</v>
      </c>
      <c r="T18" s="12" t="s">
        <v>3</v>
      </c>
      <c r="U18" s="12" t="s">
        <v>4</v>
      </c>
      <c r="V18" s="12" t="s">
        <v>5</v>
      </c>
      <c r="W18" s="13" t="s">
        <v>2</v>
      </c>
      <c r="X18" s="13" t="s">
        <v>3</v>
      </c>
      <c r="Y18" s="13" t="s">
        <v>4</v>
      </c>
      <c r="Z18" s="13" t="s">
        <v>5</v>
      </c>
    </row>
    <row r="19" spans="1:26" ht="24">
      <c r="A19" s="14" t="s">
        <v>6</v>
      </c>
      <c r="B19" s="15" t="s">
        <v>7</v>
      </c>
      <c r="C19" s="17">
        <v>1825.2770124241322</v>
      </c>
      <c r="D19" s="17">
        <v>2155.7937864241321</v>
      </c>
      <c r="E19" s="17">
        <v>2329.3430904241322</v>
      </c>
      <c r="F19" s="17">
        <v>2477.905244424132</v>
      </c>
      <c r="G19" s="17">
        <v>1618.1964436146291</v>
      </c>
      <c r="H19" s="17">
        <v>1948.7132176146288</v>
      </c>
      <c r="I19" s="17">
        <v>2122.2625216146289</v>
      </c>
      <c r="J19" s="17">
        <v>2270.8246756146295</v>
      </c>
      <c r="K19" s="17">
        <v>1530.5480989976659</v>
      </c>
      <c r="L19" s="17">
        <v>1861.0648729976656</v>
      </c>
      <c r="M19" s="17">
        <v>2034.6141769976659</v>
      </c>
      <c r="N19" s="17">
        <v>2183.1763309976659</v>
      </c>
      <c r="O19" s="17">
        <v>1691.0039529128194</v>
      </c>
      <c r="P19" s="17">
        <v>2021.5207269128196</v>
      </c>
      <c r="Q19" s="17">
        <v>2195.0700309128197</v>
      </c>
      <c r="R19" s="17">
        <v>2343.6321849128194</v>
      </c>
      <c r="S19" s="17">
        <v>1355.8722139674906</v>
      </c>
      <c r="T19" s="17">
        <v>1686.3889879674903</v>
      </c>
      <c r="U19" s="17">
        <v>1859.9382919674904</v>
      </c>
      <c r="V19" s="17">
        <v>2008.5004459674904</v>
      </c>
      <c r="W19" s="17">
        <v>1224.2107967954964</v>
      </c>
      <c r="X19" s="17">
        <v>1554.7275707954964</v>
      </c>
      <c r="Y19" s="17">
        <v>1728.2768747954965</v>
      </c>
      <c r="Z19" s="17">
        <v>1876.8390287954965</v>
      </c>
    </row>
    <row r="20" spans="1:26" ht="24">
      <c r="A20" s="14" t="s">
        <v>8</v>
      </c>
      <c r="B20" s="15" t="s">
        <v>7</v>
      </c>
      <c r="C20" s="17">
        <v>1817.678183391627</v>
      </c>
      <c r="D20" s="17">
        <v>2148.1949573916272</v>
      </c>
      <c r="E20" s="17">
        <v>2321.7442613916273</v>
      </c>
      <c r="F20" s="17">
        <v>2470.3064153916271</v>
      </c>
      <c r="G20" s="17">
        <v>1611.6724045923693</v>
      </c>
      <c r="H20" s="17">
        <v>1942.189178592369</v>
      </c>
      <c r="I20" s="17">
        <v>2115.7384825923691</v>
      </c>
      <c r="J20" s="17">
        <v>2264.3006365923693</v>
      </c>
      <c r="K20" s="17">
        <v>1524.478364701155</v>
      </c>
      <c r="L20" s="17">
        <v>1854.9951387011547</v>
      </c>
      <c r="M20" s="17">
        <v>2028.5444427011548</v>
      </c>
      <c r="N20" s="17">
        <v>2177.106596701155</v>
      </c>
      <c r="O20" s="17">
        <v>1684.1001220963824</v>
      </c>
      <c r="P20" s="17">
        <v>2014.6168960963823</v>
      </c>
      <c r="Q20" s="17">
        <v>2188.166200096382</v>
      </c>
      <c r="R20" s="17">
        <v>2336.7283540963822</v>
      </c>
      <c r="S20" s="17">
        <v>1350.7085811943055</v>
      </c>
      <c r="T20" s="17">
        <v>1681.2253551943054</v>
      </c>
      <c r="U20" s="17">
        <v>1854.7746591943057</v>
      </c>
      <c r="V20" s="17">
        <v>2003.3368131943055</v>
      </c>
      <c r="W20" s="17">
        <v>1219.7311727954964</v>
      </c>
      <c r="X20" s="17">
        <v>1550.2479467954965</v>
      </c>
      <c r="Y20" s="17">
        <v>1723.7972507954967</v>
      </c>
      <c r="Z20" s="17">
        <v>1872.3594047954966</v>
      </c>
    </row>
    <row r="21" spans="1:26" ht="24">
      <c r="A21" s="14" t="s">
        <v>9</v>
      </c>
      <c r="B21" s="15" t="s">
        <v>7</v>
      </c>
      <c r="C21" s="17">
        <v>1773.4183370970361</v>
      </c>
      <c r="D21" s="17">
        <v>2103.935111097036</v>
      </c>
      <c r="E21" s="17">
        <v>2277.4844150970366</v>
      </c>
      <c r="F21" s="17">
        <v>2426.0465690970364</v>
      </c>
      <c r="G21" s="17">
        <v>1573.6727387083286</v>
      </c>
      <c r="H21" s="17">
        <v>1904.1895127083289</v>
      </c>
      <c r="I21" s="17">
        <v>2077.7388167083291</v>
      </c>
      <c r="J21" s="17">
        <v>2226.3009707083293</v>
      </c>
      <c r="K21" s="17">
        <v>1489.1248245881434</v>
      </c>
      <c r="L21" s="17">
        <v>1819.6415985881433</v>
      </c>
      <c r="M21" s="17">
        <v>1993.1909025881437</v>
      </c>
      <c r="N21" s="17">
        <v>2141.7530565881439</v>
      </c>
      <c r="O21" s="17">
        <v>1643.8883355866067</v>
      </c>
      <c r="P21" s="17">
        <v>1974.4051095866073</v>
      </c>
      <c r="Q21" s="17">
        <v>2147.9544135866072</v>
      </c>
      <c r="R21" s="17">
        <v>2296.5165675866074</v>
      </c>
      <c r="S21" s="17">
        <v>1320.6326850417192</v>
      </c>
      <c r="T21" s="17">
        <v>1651.1494590417192</v>
      </c>
      <c r="U21" s="17">
        <v>1824.6987630417193</v>
      </c>
      <c r="V21" s="17">
        <v>1973.260917041719</v>
      </c>
      <c r="W21" s="17">
        <v>1193.6722847954964</v>
      </c>
      <c r="X21" s="17">
        <v>1524.1890587954963</v>
      </c>
      <c r="Y21" s="17">
        <v>1697.7383627954966</v>
      </c>
      <c r="Z21" s="17">
        <v>1846.3005167954964</v>
      </c>
    </row>
    <row r="22" spans="1:26" ht="24">
      <c r="A22" s="14" t="s">
        <v>10</v>
      </c>
      <c r="B22" s="15" t="s">
        <v>7</v>
      </c>
      <c r="C22" s="17">
        <v>1737.5571965752142</v>
      </c>
      <c r="D22" s="17">
        <v>2068.0739705752139</v>
      </c>
      <c r="E22" s="17">
        <v>2241.6232745752141</v>
      </c>
      <c r="F22" s="17">
        <v>2390.1854285752142</v>
      </c>
      <c r="G22" s="17">
        <v>1542.8838527962603</v>
      </c>
      <c r="H22" s="17">
        <v>1873.40062679626</v>
      </c>
      <c r="I22" s="17">
        <v>2046.9499307962601</v>
      </c>
      <c r="J22" s="17">
        <v>2195.5120847962603</v>
      </c>
      <c r="K22" s="17">
        <v>1460.479938171276</v>
      </c>
      <c r="L22" s="17">
        <v>1790.9967121712757</v>
      </c>
      <c r="M22" s="17">
        <v>1964.5460161712758</v>
      </c>
      <c r="N22" s="17">
        <v>2113.108170171276</v>
      </c>
      <c r="O22" s="17">
        <v>1611.3070989265782</v>
      </c>
      <c r="P22" s="17">
        <v>1941.8238729265784</v>
      </c>
      <c r="Q22" s="17">
        <v>2115.3731769265787</v>
      </c>
      <c r="R22" s="17">
        <v>2263.9353309265784</v>
      </c>
      <c r="S22" s="17">
        <v>1296.2639619542319</v>
      </c>
      <c r="T22" s="17">
        <v>1626.7807359542321</v>
      </c>
      <c r="U22" s="17">
        <v>1800.3300399542322</v>
      </c>
      <c r="V22" s="17">
        <v>1948.892193954232</v>
      </c>
      <c r="W22" s="17">
        <v>1172.5626587954964</v>
      </c>
      <c r="X22" s="17">
        <v>1503.0794327954964</v>
      </c>
      <c r="Y22" s="17">
        <v>1676.6287367954967</v>
      </c>
      <c r="Z22" s="17">
        <v>1825.1908907954964</v>
      </c>
    </row>
    <row r="23" spans="1:26" ht="15" customHeight="1">
      <c r="A23" s="788" t="s">
        <v>27</v>
      </c>
      <c r="B23" s="790"/>
      <c r="C23" s="793" t="s">
        <v>17</v>
      </c>
      <c r="D23" s="793"/>
      <c r="E23" s="793"/>
      <c r="F23" s="793"/>
      <c r="G23" s="793" t="s">
        <v>18</v>
      </c>
      <c r="H23" s="793"/>
      <c r="I23" s="793"/>
      <c r="J23" s="793"/>
      <c r="K23" s="793" t="s">
        <v>19</v>
      </c>
      <c r="L23" s="793"/>
      <c r="M23" s="793"/>
      <c r="N23" s="793"/>
      <c r="O23" s="793" t="s">
        <v>20</v>
      </c>
      <c r="P23" s="793"/>
      <c r="Q23" s="793"/>
      <c r="R23" s="793"/>
      <c r="S23" s="793" t="s">
        <v>21</v>
      </c>
      <c r="T23" s="793"/>
      <c r="U23" s="793"/>
      <c r="V23" s="793"/>
      <c r="W23" s="793" t="s">
        <v>22</v>
      </c>
      <c r="X23" s="793"/>
      <c r="Y23" s="793"/>
      <c r="Z23" s="793"/>
    </row>
    <row r="24" spans="1:26">
      <c r="A24" s="791"/>
      <c r="B24" s="792"/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2</v>
      </c>
      <c r="H24" s="11" t="s">
        <v>3</v>
      </c>
      <c r="I24" s="11" t="s">
        <v>4</v>
      </c>
      <c r="J24" s="11" t="s">
        <v>5</v>
      </c>
      <c r="K24" s="12" t="s">
        <v>2</v>
      </c>
      <c r="L24" s="12" t="s">
        <v>3</v>
      </c>
      <c r="M24" s="12" t="s">
        <v>4</v>
      </c>
      <c r="N24" s="12" t="s">
        <v>5</v>
      </c>
      <c r="O24" s="13" t="s">
        <v>2</v>
      </c>
      <c r="P24" s="13" t="s">
        <v>3</v>
      </c>
      <c r="Q24" s="13" t="s">
        <v>4</v>
      </c>
      <c r="R24" s="13" t="s">
        <v>5</v>
      </c>
      <c r="S24" s="12" t="s">
        <v>2</v>
      </c>
      <c r="T24" s="12" t="s">
        <v>3</v>
      </c>
      <c r="U24" s="12" t="s">
        <v>4</v>
      </c>
      <c r="V24" s="12" t="s">
        <v>5</v>
      </c>
      <c r="W24" s="13" t="s">
        <v>2</v>
      </c>
      <c r="X24" s="13" t="s">
        <v>3</v>
      </c>
      <c r="Y24" s="13" t="s">
        <v>4</v>
      </c>
      <c r="Z24" s="13" t="s">
        <v>5</v>
      </c>
    </row>
    <row r="25" spans="1:26" ht="24">
      <c r="A25" s="14" t="s">
        <v>6</v>
      </c>
      <c r="B25" s="15" t="s">
        <v>7</v>
      </c>
      <c r="C25" s="17">
        <v>1245.7196296709062</v>
      </c>
      <c r="D25" s="17">
        <v>1576.2364036709062</v>
      </c>
      <c r="E25" s="17">
        <v>1749.785707670906</v>
      </c>
      <c r="F25" s="17">
        <v>1898.3478616709065</v>
      </c>
      <c r="G25" s="17">
        <v>1591.1210876137181</v>
      </c>
      <c r="H25" s="17">
        <v>1921.6378616137185</v>
      </c>
      <c r="I25" s="17">
        <v>2095.1871656137182</v>
      </c>
      <c r="J25" s="17">
        <v>2243.7493196137179</v>
      </c>
      <c r="K25" s="17">
        <v>1551.1376276047333</v>
      </c>
      <c r="L25" s="17">
        <v>1881.6544016047335</v>
      </c>
      <c r="M25" s="17">
        <v>2055.2037056047334</v>
      </c>
      <c r="N25" s="17">
        <v>2203.7658596047336</v>
      </c>
      <c r="O25" s="17">
        <v>1464.5822652969209</v>
      </c>
      <c r="P25" s="17">
        <v>1795.0990392969211</v>
      </c>
      <c r="Q25" s="17">
        <v>1968.6483432969212</v>
      </c>
      <c r="R25" s="17">
        <v>2117.2104972969209</v>
      </c>
      <c r="S25" s="17">
        <v>1877.51542287147</v>
      </c>
      <c r="T25" s="17">
        <v>2208.0321968714702</v>
      </c>
      <c r="U25" s="17">
        <v>2381.5815008714703</v>
      </c>
      <c r="V25" s="17">
        <v>2530.1436548714696</v>
      </c>
      <c r="W25" s="17">
        <v>1961.7096231437392</v>
      </c>
      <c r="X25" s="17">
        <v>2292.2263971437387</v>
      </c>
      <c r="Y25" s="17">
        <v>2465.7757011437393</v>
      </c>
      <c r="Z25" s="17">
        <v>2614.3378551437395</v>
      </c>
    </row>
    <row r="26" spans="1:26" ht="24">
      <c r="A26" s="14" t="s">
        <v>8</v>
      </c>
      <c r="B26" s="15" t="s">
        <v>7</v>
      </c>
      <c r="C26" s="17">
        <v>1237.1938936709062</v>
      </c>
      <c r="D26" s="17">
        <v>1567.7106676709061</v>
      </c>
      <c r="E26" s="17">
        <v>1741.2599716709065</v>
      </c>
      <c r="F26" s="17">
        <v>1889.8221256709064</v>
      </c>
      <c r="G26" s="17">
        <v>1579.2597176137181</v>
      </c>
      <c r="H26" s="17">
        <v>1909.7764916137187</v>
      </c>
      <c r="I26" s="17">
        <v>2083.3257956137186</v>
      </c>
      <c r="J26" s="17">
        <v>2231.8879496137183</v>
      </c>
      <c r="K26" s="17">
        <v>1544.9592285088663</v>
      </c>
      <c r="L26" s="17">
        <v>1875.4760025088665</v>
      </c>
      <c r="M26" s="17">
        <v>2049.0253065088664</v>
      </c>
      <c r="N26" s="17">
        <v>2197.5874605088661</v>
      </c>
      <c r="O26" s="17">
        <v>1458.8597418746438</v>
      </c>
      <c r="P26" s="17">
        <v>1789.3765158746437</v>
      </c>
      <c r="Q26" s="17">
        <v>1962.9258198746436</v>
      </c>
      <c r="R26" s="17">
        <v>2111.4879738746436</v>
      </c>
      <c r="S26" s="17">
        <v>1869.6525957537797</v>
      </c>
      <c r="T26" s="17">
        <v>2200.1693697537798</v>
      </c>
      <c r="U26" s="17">
        <v>2373.7186737537795</v>
      </c>
      <c r="V26" s="17">
        <v>2522.2808277537792</v>
      </c>
      <c r="W26" s="17">
        <v>1953.405812063676</v>
      </c>
      <c r="X26" s="17">
        <v>2283.9225860636757</v>
      </c>
      <c r="Y26" s="17">
        <v>2457.4718900636758</v>
      </c>
      <c r="Z26" s="17">
        <v>2606.034044063676</v>
      </c>
    </row>
    <row r="27" spans="1:26" ht="24">
      <c r="A27" s="14" t="s">
        <v>9</v>
      </c>
      <c r="B27" s="15" t="s">
        <v>7</v>
      </c>
      <c r="C27" s="17">
        <v>1186.3766536709063</v>
      </c>
      <c r="D27" s="17">
        <v>1516.893427670906</v>
      </c>
      <c r="E27" s="17">
        <v>1690.4427316709064</v>
      </c>
      <c r="F27" s="17">
        <v>1839.0048856709063</v>
      </c>
      <c r="G27" s="17">
        <v>1508.5129676137183</v>
      </c>
      <c r="H27" s="17">
        <v>1839.0297416137184</v>
      </c>
      <c r="I27" s="17">
        <v>2012.5790456137186</v>
      </c>
      <c r="J27" s="17">
        <v>2161.1411996137181</v>
      </c>
      <c r="K27" s="17">
        <v>1508.9727635996055</v>
      </c>
      <c r="L27" s="17">
        <v>1839.4895375996057</v>
      </c>
      <c r="M27" s="17">
        <v>2013.0388415996056</v>
      </c>
      <c r="N27" s="17">
        <v>2161.6009955996055</v>
      </c>
      <c r="O27" s="17">
        <v>1425.5285528185714</v>
      </c>
      <c r="P27" s="17">
        <v>1756.0453268185713</v>
      </c>
      <c r="Q27" s="17">
        <v>1929.5946308185714</v>
      </c>
      <c r="R27" s="17">
        <v>2078.1567848185714</v>
      </c>
      <c r="S27" s="17">
        <v>1823.8550764016177</v>
      </c>
      <c r="T27" s="17">
        <v>2154.3718504016178</v>
      </c>
      <c r="U27" s="17">
        <v>2327.921154401618</v>
      </c>
      <c r="V27" s="17">
        <v>2476.4833084016177</v>
      </c>
      <c r="W27" s="17">
        <v>1905.0397545447104</v>
      </c>
      <c r="X27" s="17">
        <v>2235.5565285447101</v>
      </c>
      <c r="Y27" s="17">
        <v>2409.1058325447102</v>
      </c>
      <c r="Z27" s="17">
        <v>2557.6679865447109</v>
      </c>
    </row>
    <row r="28" spans="1:26" ht="24">
      <c r="A28" s="14" t="s">
        <v>10</v>
      </c>
      <c r="B28" s="15" t="s">
        <v>7</v>
      </c>
      <c r="C28" s="17">
        <v>1145.3977276709063</v>
      </c>
      <c r="D28" s="17">
        <v>1475.914501670906</v>
      </c>
      <c r="E28" s="17">
        <v>1649.4638056709064</v>
      </c>
      <c r="F28" s="17">
        <v>1798.0259596709066</v>
      </c>
      <c r="G28" s="17">
        <v>1451.470013613718</v>
      </c>
      <c r="H28" s="17">
        <v>1781.9867876137182</v>
      </c>
      <c r="I28" s="17">
        <v>1955.5360916137183</v>
      </c>
      <c r="J28" s="17">
        <v>2104.0982456137181</v>
      </c>
      <c r="K28" s="17">
        <v>1479.8150555857767</v>
      </c>
      <c r="L28" s="17">
        <v>1810.3318295857771</v>
      </c>
      <c r="M28" s="17">
        <v>1983.881133585777</v>
      </c>
      <c r="N28" s="17">
        <v>2132.4432875857769</v>
      </c>
      <c r="O28" s="17">
        <v>1398.5222580713319</v>
      </c>
      <c r="P28" s="17">
        <v>1729.039032071332</v>
      </c>
      <c r="Q28" s="17">
        <v>1902.5883360713322</v>
      </c>
      <c r="R28" s="17">
        <v>2051.1504900713321</v>
      </c>
      <c r="S28" s="17">
        <v>1786.7480501795346</v>
      </c>
      <c r="T28" s="17">
        <v>2117.264824179535</v>
      </c>
      <c r="U28" s="17">
        <v>2290.8141281795347</v>
      </c>
      <c r="V28" s="17">
        <v>2439.3762821795349</v>
      </c>
      <c r="W28" s="17">
        <v>1865.8515934826569</v>
      </c>
      <c r="X28" s="17">
        <v>2196.3683674826566</v>
      </c>
      <c r="Y28" s="17">
        <v>2369.9176714826567</v>
      </c>
      <c r="Z28" s="17">
        <v>2518.4798254826574</v>
      </c>
    </row>
    <row r="33" spans="1:1">
      <c r="A33" s="10" t="s">
        <v>30</v>
      </c>
    </row>
  </sheetData>
  <mergeCells count="30">
    <mergeCell ref="A2:Z2"/>
    <mergeCell ref="A16:Z16"/>
    <mergeCell ref="W17:Z17"/>
    <mergeCell ref="A23:B24"/>
    <mergeCell ref="C23:F23"/>
    <mergeCell ref="G23:J23"/>
    <mergeCell ref="K23:N23"/>
    <mergeCell ref="O23:R23"/>
    <mergeCell ref="S23:V23"/>
    <mergeCell ref="W23:Z23"/>
    <mergeCell ref="A17:B18"/>
    <mergeCell ref="C17:F17"/>
    <mergeCell ref="G17:J17"/>
    <mergeCell ref="K17:N17"/>
    <mergeCell ref="O17:R17"/>
    <mergeCell ref="S17:V17"/>
    <mergeCell ref="W3:Z3"/>
    <mergeCell ref="A9:B10"/>
    <mergeCell ref="C9:F9"/>
    <mergeCell ref="G9:J9"/>
    <mergeCell ref="K9:N9"/>
    <mergeCell ref="O9:R9"/>
    <mergeCell ref="S9:V9"/>
    <mergeCell ref="W9:Z9"/>
    <mergeCell ref="A3:B4"/>
    <mergeCell ref="C3:F3"/>
    <mergeCell ref="G3:J3"/>
    <mergeCell ref="K3:N3"/>
    <mergeCell ref="O3:R3"/>
    <mergeCell ref="S3:V3"/>
  </mergeCell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="80" zoomScaleNormal="80" workbookViewId="0">
      <selection activeCell="H39" sqref="H39"/>
    </sheetView>
  </sheetViews>
  <sheetFormatPr defaultRowHeight="15"/>
  <cols>
    <col min="1" max="1" width="21.42578125" customWidth="1"/>
    <col min="2" max="25" width="12" style="741" bestFit="1" customWidth="1"/>
  </cols>
  <sheetData>
    <row r="1" spans="1:25" s="328" customFormat="1" ht="24" customHeight="1" thickBot="1">
      <c r="A1" s="771" t="s">
        <v>346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  <c r="Y1" s="740"/>
    </row>
    <row r="2" spans="1:25">
      <c r="A2" s="1003">
        <v>2018</v>
      </c>
      <c r="B2" s="1000" t="s">
        <v>11</v>
      </c>
      <c r="C2" s="1001"/>
      <c r="D2" s="1001"/>
      <c r="E2" s="1002"/>
      <c r="F2" s="1001" t="s">
        <v>12</v>
      </c>
      <c r="G2" s="1001"/>
      <c r="H2" s="1001"/>
      <c r="I2" s="1001"/>
      <c r="J2" s="1000" t="s">
        <v>13</v>
      </c>
      <c r="K2" s="1001"/>
      <c r="L2" s="1001"/>
      <c r="M2" s="1002"/>
      <c r="N2" s="1001" t="s">
        <v>14</v>
      </c>
      <c r="O2" s="1001"/>
      <c r="P2" s="1001"/>
      <c r="Q2" s="1001"/>
      <c r="R2" s="1000" t="s">
        <v>15</v>
      </c>
      <c r="S2" s="1001"/>
      <c r="T2" s="1001"/>
      <c r="U2" s="1002"/>
      <c r="V2" s="1001" t="s">
        <v>16</v>
      </c>
      <c r="W2" s="1001"/>
      <c r="X2" s="1001"/>
      <c r="Y2" s="1002"/>
    </row>
    <row r="3" spans="1:25" ht="15.75" thickBot="1">
      <c r="A3" s="1004"/>
      <c r="B3" s="766" t="s">
        <v>2</v>
      </c>
      <c r="C3" s="767" t="s">
        <v>343</v>
      </c>
      <c r="D3" s="767" t="s">
        <v>344</v>
      </c>
      <c r="E3" s="768" t="s">
        <v>5</v>
      </c>
      <c r="F3" s="769" t="s">
        <v>2</v>
      </c>
      <c r="G3" s="767" t="s">
        <v>343</v>
      </c>
      <c r="H3" s="767" t="s">
        <v>344</v>
      </c>
      <c r="I3" s="770" t="s">
        <v>5</v>
      </c>
      <c r="J3" s="766" t="s">
        <v>2</v>
      </c>
      <c r="K3" s="767" t="s">
        <v>343</v>
      </c>
      <c r="L3" s="767" t="s">
        <v>344</v>
      </c>
      <c r="M3" s="768" t="s">
        <v>5</v>
      </c>
      <c r="N3" s="769" t="s">
        <v>2</v>
      </c>
      <c r="O3" s="767" t="s">
        <v>343</v>
      </c>
      <c r="P3" s="767" t="s">
        <v>344</v>
      </c>
      <c r="Q3" s="770" t="s">
        <v>5</v>
      </c>
      <c r="R3" s="766" t="s">
        <v>2</v>
      </c>
      <c r="S3" s="767" t="s">
        <v>343</v>
      </c>
      <c r="T3" s="767" t="s">
        <v>344</v>
      </c>
      <c r="U3" s="768" t="s">
        <v>5</v>
      </c>
      <c r="V3" s="769" t="s">
        <v>2</v>
      </c>
      <c r="W3" s="767" t="s">
        <v>343</v>
      </c>
      <c r="X3" s="767" t="s">
        <v>344</v>
      </c>
      <c r="Y3" s="768" t="s">
        <v>5</v>
      </c>
    </row>
    <row r="4" spans="1:25" ht="15.75" customHeight="1">
      <c r="A4" s="760" t="s">
        <v>228</v>
      </c>
      <c r="B4" s="761">
        <v>2542.4653499999999</v>
      </c>
      <c r="C4" s="762">
        <v>2931.36535</v>
      </c>
      <c r="D4" s="762">
        <v>3122.4653499999999</v>
      </c>
      <c r="E4" s="763">
        <v>3427.8053499999996</v>
      </c>
      <c r="F4" s="764">
        <v>2583.4907000000003</v>
      </c>
      <c r="G4" s="762">
        <v>2972.3906999999999</v>
      </c>
      <c r="H4" s="762">
        <v>3163.4906999999998</v>
      </c>
      <c r="I4" s="765">
        <v>3468.8307</v>
      </c>
      <c r="J4" s="761">
        <v>2225.7901000000002</v>
      </c>
      <c r="K4" s="762">
        <v>2614.6901000000003</v>
      </c>
      <c r="L4" s="762">
        <v>2805.7901000000002</v>
      </c>
      <c r="M4" s="763">
        <v>3111.1300999999999</v>
      </c>
      <c r="N4" s="764">
        <v>2453.9508999999998</v>
      </c>
      <c r="O4" s="762">
        <v>2842.8508999999999</v>
      </c>
      <c r="P4" s="762">
        <v>3033.9508999999998</v>
      </c>
      <c r="Q4" s="765">
        <v>3339.2908999999995</v>
      </c>
      <c r="R4" s="761">
        <v>2010.6713500000001</v>
      </c>
      <c r="S4" s="762">
        <v>2399.5713500000002</v>
      </c>
      <c r="T4" s="762">
        <v>2590.6713500000001</v>
      </c>
      <c r="U4" s="763">
        <v>2896.0113500000002</v>
      </c>
      <c r="V4" s="764">
        <v>1866.8206</v>
      </c>
      <c r="W4" s="762">
        <v>2255.7206000000006</v>
      </c>
      <c r="X4" s="762">
        <v>2446.8206000000005</v>
      </c>
      <c r="Y4" s="763">
        <v>2752.1606000000006</v>
      </c>
    </row>
    <row r="5" spans="1:25">
      <c r="A5" s="746" t="s">
        <v>191</v>
      </c>
      <c r="B5" s="750">
        <v>2535.65535</v>
      </c>
      <c r="C5" s="742">
        <v>2924.5553500000001</v>
      </c>
      <c r="D5" s="742">
        <v>3115.65535</v>
      </c>
      <c r="E5" s="743">
        <v>3420.9953499999997</v>
      </c>
      <c r="F5" s="748">
        <v>2576.5407</v>
      </c>
      <c r="G5" s="742">
        <v>2965.4407000000001</v>
      </c>
      <c r="H5" s="742">
        <v>3156.5407</v>
      </c>
      <c r="I5" s="752">
        <v>3461.8807000000002</v>
      </c>
      <c r="J5" s="750">
        <v>2220.0001000000002</v>
      </c>
      <c r="K5" s="742">
        <v>2608.9000999999998</v>
      </c>
      <c r="L5" s="742">
        <v>2800.0000999999997</v>
      </c>
      <c r="M5" s="743">
        <v>3105.3400999999994</v>
      </c>
      <c r="N5" s="748">
        <v>2447.4309000000003</v>
      </c>
      <c r="O5" s="742">
        <v>2836.3308999999999</v>
      </c>
      <c r="P5" s="742">
        <v>3027.4308999999998</v>
      </c>
      <c r="Q5" s="752">
        <v>3332.7708999999995</v>
      </c>
      <c r="R5" s="750">
        <v>2005.5813500000002</v>
      </c>
      <c r="S5" s="742">
        <v>2394.48135</v>
      </c>
      <c r="T5" s="742">
        <v>2585.5813499999999</v>
      </c>
      <c r="U5" s="743">
        <v>2890.9213500000001</v>
      </c>
      <c r="V5" s="748">
        <v>1862.1905999999999</v>
      </c>
      <c r="W5" s="742">
        <v>2251.0906000000004</v>
      </c>
      <c r="X5" s="742">
        <v>2442.1906000000004</v>
      </c>
      <c r="Y5" s="743">
        <v>2747.5306000000005</v>
      </c>
    </row>
    <row r="6" spans="1:25">
      <c r="A6" s="746" t="s">
        <v>158</v>
      </c>
      <c r="B6" s="750">
        <v>2495.38535</v>
      </c>
      <c r="C6" s="742">
        <v>2884.2853500000001</v>
      </c>
      <c r="D6" s="742">
        <v>3075.38535</v>
      </c>
      <c r="E6" s="743">
        <v>3380.7253499999997</v>
      </c>
      <c r="F6" s="748">
        <v>2535.5007000000001</v>
      </c>
      <c r="G6" s="742">
        <v>2924.4007000000001</v>
      </c>
      <c r="H6" s="742">
        <v>3115.5007000000001</v>
      </c>
      <c r="I6" s="752">
        <v>3420.8407000000002</v>
      </c>
      <c r="J6" s="750">
        <v>2185.7701000000002</v>
      </c>
      <c r="K6" s="742">
        <v>2574.6700999999998</v>
      </c>
      <c r="L6" s="742">
        <v>2765.7700999999997</v>
      </c>
      <c r="M6" s="743">
        <v>3071.1100999999994</v>
      </c>
      <c r="N6" s="748">
        <v>2408.8308999999999</v>
      </c>
      <c r="O6" s="742">
        <v>2797.7309</v>
      </c>
      <c r="P6" s="742">
        <v>2988.8308999999999</v>
      </c>
      <c r="Q6" s="752">
        <v>3294.1708999999996</v>
      </c>
      <c r="R6" s="750">
        <v>1975.4713500000003</v>
      </c>
      <c r="S6" s="742">
        <v>2364.3713500000003</v>
      </c>
      <c r="T6" s="742">
        <v>2555.4713500000003</v>
      </c>
      <c r="U6" s="743">
        <v>2860.8113500000004</v>
      </c>
      <c r="V6" s="748">
        <v>1834.8406</v>
      </c>
      <c r="W6" s="742">
        <v>2223.7406000000005</v>
      </c>
      <c r="X6" s="742">
        <v>2414.8406000000004</v>
      </c>
      <c r="Y6" s="743">
        <v>2720.1806000000006</v>
      </c>
    </row>
    <row r="7" spans="1:25" ht="15.75" thickBot="1">
      <c r="A7" s="754" t="s">
        <v>159</v>
      </c>
      <c r="B7" s="755">
        <v>2462.8153499999999</v>
      </c>
      <c r="C7" s="756">
        <v>2851.7153499999999</v>
      </c>
      <c r="D7" s="756">
        <v>3042.8153499999999</v>
      </c>
      <c r="E7" s="757">
        <v>3348.1553499999995</v>
      </c>
      <c r="F7" s="758">
        <v>2502.3006999999998</v>
      </c>
      <c r="G7" s="756">
        <v>2891.2006999999999</v>
      </c>
      <c r="H7" s="756">
        <v>3082.3006999999998</v>
      </c>
      <c r="I7" s="759">
        <v>3387.6406999999999</v>
      </c>
      <c r="J7" s="755">
        <v>2158.1001000000001</v>
      </c>
      <c r="K7" s="756">
        <v>2547.0001000000002</v>
      </c>
      <c r="L7" s="756">
        <v>2738.1001000000001</v>
      </c>
      <c r="M7" s="757">
        <v>3043.4400999999998</v>
      </c>
      <c r="N7" s="758">
        <v>2377.6309000000001</v>
      </c>
      <c r="O7" s="756">
        <v>2766.5309000000002</v>
      </c>
      <c r="P7" s="756">
        <v>2957.6309000000001</v>
      </c>
      <c r="Q7" s="759">
        <v>3262.9708999999998</v>
      </c>
      <c r="R7" s="755">
        <v>1951.1213500000001</v>
      </c>
      <c r="S7" s="756">
        <v>2340.02135</v>
      </c>
      <c r="T7" s="756">
        <v>2531.1213499999999</v>
      </c>
      <c r="U7" s="757">
        <v>2836.46135</v>
      </c>
      <c r="V7" s="758">
        <v>1812.7206000000001</v>
      </c>
      <c r="W7" s="756">
        <v>2201.6206000000002</v>
      </c>
      <c r="X7" s="756">
        <v>2392.7206000000001</v>
      </c>
      <c r="Y7" s="757">
        <v>2698.0606000000002</v>
      </c>
    </row>
    <row r="8" spans="1:25">
      <c r="A8" s="1005"/>
      <c r="B8" s="1000" t="s">
        <v>17</v>
      </c>
      <c r="C8" s="1001"/>
      <c r="D8" s="1001"/>
      <c r="E8" s="1002"/>
      <c r="F8" s="1001" t="s">
        <v>18</v>
      </c>
      <c r="G8" s="1001"/>
      <c r="H8" s="1001"/>
      <c r="I8" s="1001"/>
      <c r="J8" s="1000" t="s">
        <v>19</v>
      </c>
      <c r="K8" s="1001"/>
      <c r="L8" s="1001"/>
      <c r="M8" s="1002"/>
      <c r="N8" s="1001" t="s">
        <v>20</v>
      </c>
      <c r="O8" s="1001"/>
      <c r="P8" s="1001"/>
      <c r="Q8" s="1001"/>
      <c r="R8" s="1000" t="s">
        <v>21</v>
      </c>
      <c r="S8" s="1001"/>
      <c r="T8" s="1001"/>
      <c r="U8" s="1002"/>
      <c r="V8" s="1001" t="s">
        <v>22</v>
      </c>
      <c r="W8" s="1001"/>
      <c r="X8" s="1001"/>
      <c r="Y8" s="1002"/>
    </row>
    <row r="9" spans="1:25" ht="15.75" thickBot="1">
      <c r="A9" s="1006"/>
      <c r="B9" s="766" t="s">
        <v>2</v>
      </c>
      <c r="C9" s="767" t="s">
        <v>343</v>
      </c>
      <c r="D9" s="767" t="s">
        <v>344</v>
      </c>
      <c r="E9" s="768" t="s">
        <v>5</v>
      </c>
      <c r="F9" s="769" t="s">
        <v>2</v>
      </c>
      <c r="G9" s="767" t="s">
        <v>343</v>
      </c>
      <c r="H9" s="767" t="s">
        <v>344</v>
      </c>
      <c r="I9" s="770" t="s">
        <v>5</v>
      </c>
      <c r="J9" s="766" t="s">
        <v>2</v>
      </c>
      <c r="K9" s="767" t="s">
        <v>343</v>
      </c>
      <c r="L9" s="767" t="s">
        <v>344</v>
      </c>
      <c r="M9" s="768" t="s">
        <v>5</v>
      </c>
      <c r="N9" s="769" t="s">
        <v>2</v>
      </c>
      <c r="O9" s="767" t="s">
        <v>343</v>
      </c>
      <c r="P9" s="767" t="s">
        <v>344</v>
      </c>
      <c r="Q9" s="770" t="s">
        <v>5</v>
      </c>
      <c r="R9" s="766" t="s">
        <v>2</v>
      </c>
      <c r="S9" s="767" t="s">
        <v>343</v>
      </c>
      <c r="T9" s="767" t="s">
        <v>344</v>
      </c>
      <c r="U9" s="768" t="s">
        <v>5</v>
      </c>
      <c r="V9" s="769" t="s">
        <v>2</v>
      </c>
      <c r="W9" s="767" t="s">
        <v>343</v>
      </c>
      <c r="X9" s="767" t="s">
        <v>344</v>
      </c>
      <c r="Y9" s="768" t="s">
        <v>5</v>
      </c>
    </row>
    <row r="10" spans="1:25" ht="24" customHeight="1">
      <c r="A10" s="760" t="s">
        <v>228</v>
      </c>
      <c r="B10" s="761">
        <v>1824.6457500000001</v>
      </c>
      <c r="C10" s="762">
        <v>2231.0457500000002</v>
      </c>
      <c r="D10" s="762">
        <v>2430.74575</v>
      </c>
      <c r="E10" s="763">
        <v>2749.82575</v>
      </c>
      <c r="F10" s="764">
        <v>2315.76325</v>
      </c>
      <c r="G10" s="762">
        <v>2722.1632500000001</v>
      </c>
      <c r="H10" s="762">
        <v>2921.8632499999999</v>
      </c>
      <c r="I10" s="765">
        <v>3240.9432499999998</v>
      </c>
      <c r="J10" s="761">
        <v>2528.1659999999997</v>
      </c>
      <c r="K10" s="762">
        <v>2934.5659999999993</v>
      </c>
      <c r="L10" s="762">
        <v>3134.2659999999992</v>
      </c>
      <c r="M10" s="763">
        <v>3453.3459999999991</v>
      </c>
      <c r="N10" s="764">
        <v>2453.74665</v>
      </c>
      <c r="O10" s="762">
        <v>2860.1466500000001</v>
      </c>
      <c r="P10" s="762">
        <v>3059.84665</v>
      </c>
      <c r="Q10" s="765">
        <v>3378.9266499999999</v>
      </c>
      <c r="R10" s="761">
        <v>2764.2447525000002</v>
      </c>
      <c r="S10" s="762">
        <v>3170.6447525000003</v>
      </c>
      <c r="T10" s="762">
        <v>3370.3447525000001</v>
      </c>
      <c r="U10" s="763">
        <v>3689.4247525000001</v>
      </c>
      <c r="V10" s="764">
        <v>2720.1427512500004</v>
      </c>
      <c r="W10" s="762">
        <v>3126.5427512500005</v>
      </c>
      <c r="X10" s="762">
        <v>3326.2427512500003</v>
      </c>
      <c r="Y10" s="763">
        <v>3645.3227512500002</v>
      </c>
    </row>
    <row r="11" spans="1:25">
      <c r="A11" s="746" t="s">
        <v>191</v>
      </c>
      <c r="B11" s="750">
        <v>1820.2157500000001</v>
      </c>
      <c r="C11" s="742">
        <v>2226.6157500000004</v>
      </c>
      <c r="D11" s="742">
        <v>2426.3157500000002</v>
      </c>
      <c r="E11" s="743">
        <v>2745.3957500000001</v>
      </c>
      <c r="F11" s="748">
        <v>2309.74325</v>
      </c>
      <c r="G11" s="742">
        <v>2716.1432500000001</v>
      </c>
      <c r="H11" s="742">
        <v>2915.8432499999999</v>
      </c>
      <c r="I11" s="752">
        <v>3234.9232499999998</v>
      </c>
      <c r="J11" s="750">
        <v>2521.4659999999999</v>
      </c>
      <c r="K11" s="742">
        <v>2927.8659999999995</v>
      </c>
      <c r="L11" s="742">
        <v>3127.5659999999993</v>
      </c>
      <c r="M11" s="743">
        <v>3446.6459999999993</v>
      </c>
      <c r="N11" s="748">
        <v>2447.28665</v>
      </c>
      <c r="O11" s="742">
        <v>2853.6866500000001</v>
      </c>
      <c r="P11" s="742">
        <v>3053.3866499999999</v>
      </c>
      <c r="Q11" s="752">
        <v>3372.4666499999998</v>
      </c>
      <c r="R11" s="750">
        <v>2756.7747525</v>
      </c>
      <c r="S11" s="742">
        <v>3163.1747525000001</v>
      </c>
      <c r="T11" s="742">
        <v>3362.8747524999999</v>
      </c>
      <c r="U11" s="743">
        <v>3681.9547524999998</v>
      </c>
      <c r="V11" s="748">
        <v>2712.8227512500002</v>
      </c>
      <c r="W11" s="742">
        <v>3119.2227512500003</v>
      </c>
      <c r="X11" s="742">
        <v>3318.9227512500001</v>
      </c>
      <c r="Y11" s="743">
        <v>3638.0027512500001</v>
      </c>
    </row>
    <row r="12" spans="1:25">
      <c r="A12" s="746" t="s">
        <v>158</v>
      </c>
      <c r="B12" s="750">
        <v>1794.04575</v>
      </c>
      <c r="C12" s="742">
        <v>2200.4457500000003</v>
      </c>
      <c r="D12" s="742">
        <v>2400.1457500000001</v>
      </c>
      <c r="E12" s="743">
        <v>2719.2257500000001</v>
      </c>
      <c r="F12" s="748">
        <v>2274.1732500000003</v>
      </c>
      <c r="G12" s="742">
        <v>2680.5732500000004</v>
      </c>
      <c r="H12" s="742">
        <v>2880.2732500000002</v>
      </c>
      <c r="I12" s="752">
        <v>3199.3532500000001</v>
      </c>
      <c r="J12" s="750">
        <v>2481.8359999999998</v>
      </c>
      <c r="K12" s="742">
        <v>2888.2359999999994</v>
      </c>
      <c r="L12" s="742">
        <v>3087.9359999999992</v>
      </c>
      <c r="M12" s="743">
        <v>3407.0159999999992</v>
      </c>
      <c r="N12" s="748">
        <v>2409.07665</v>
      </c>
      <c r="O12" s="742">
        <v>2815.4766500000001</v>
      </c>
      <c r="P12" s="742">
        <v>3015.1766499999999</v>
      </c>
      <c r="Q12" s="752">
        <v>3334.2566499999998</v>
      </c>
      <c r="R12" s="750">
        <v>2712.6547525000001</v>
      </c>
      <c r="S12" s="742">
        <v>3119.0547525000002</v>
      </c>
      <c r="T12" s="742">
        <v>3318.7547525</v>
      </c>
      <c r="U12" s="743">
        <v>3637.8347524999999</v>
      </c>
      <c r="V12" s="748">
        <v>2669.5327512500003</v>
      </c>
      <c r="W12" s="742">
        <v>3075.9327512500004</v>
      </c>
      <c r="X12" s="742">
        <v>3275.6327512500002</v>
      </c>
      <c r="Y12" s="743">
        <v>3594.7127512500001</v>
      </c>
    </row>
    <row r="13" spans="1:25" ht="15.75" thickBot="1">
      <c r="A13" s="747" t="s">
        <v>159</v>
      </c>
      <c r="B13" s="751">
        <v>1772.8757499999999</v>
      </c>
      <c r="C13" s="744">
        <v>2179.2757500000002</v>
      </c>
      <c r="D13" s="744">
        <v>2378.9757500000001</v>
      </c>
      <c r="E13" s="745">
        <v>2698.05575</v>
      </c>
      <c r="F13" s="749">
        <v>2245.4132500000001</v>
      </c>
      <c r="G13" s="744">
        <v>2651.8132500000002</v>
      </c>
      <c r="H13" s="744">
        <v>2851.51325</v>
      </c>
      <c r="I13" s="753">
        <v>3170.5932499999999</v>
      </c>
      <c r="J13" s="751">
        <v>2449.7859999999996</v>
      </c>
      <c r="K13" s="744">
        <v>2856.1859999999997</v>
      </c>
      <c r="L13" s="744">
        <v>3055.8859999999995</v>
      </c>
      <c r="M13" s="745">
        <v>3374.9659999999994</v>
      </c>
      <c r="N13" s="749">
        <v>2378.1866500000001</v>
      </c>
      <c r="O13" s="744">
        <v>2784.5866500000002</v>
      </c>
      <c r="P13" s="744">
        <v>2984.28665</v>
      </c>
      <c r="Q13" s="753">
        <v>3303.3666499999999</v>
      </c>
      <c r="R13" s="751">
        <v>2676.9647525</v>
      </c>
      <c r="S13" s="744">
        <v>3083.3647525000001</v>
      </c>
      <c r="T13" s="744">
        <v>3283.0647524999999</v>
      </c>
      <c r="U13" s="745">
        <v>3602.1447524999999</v>
      </c>
      <c r="V13" s="749">
        <v>2634.5227512500001</v>
      </c>
      <c r="W13" s="744">
        <v>3040.9227512500001</v>
      </c>
      <c r="X13" s="744">
        <v>3240.62275125</v>
      </c>
      <c r="Y13" s="745">
        <v>3559.7027512499999</v>
      </c>
    </row>
  </sheetData>
  <mergeCells count="14">
    <mergeCell ref="A2:A3"/>
    <mergeCell ref="B8:E8"/>
    <mergeCell ref="F8:I8"/>
    <mergeCell ref="B2:E2"/>
    <mergeCell ref="F2:I2"/>
    <mergeCell ref="A8:A9"/>
    <mergeCell ref="J2:M2"/>
    <mergeCell ref="N2:Q2"/>
    <mergeCell ref="R2:U2"/>
    <mergeCell ref="V2:Y2"/>
    <mergeCell ref="J8:M8"/>
    <mergeCell ref="N8:Q8"/>
    <mergeCell ref="R8:U8"/>
    <mergeCell ref="V8:Y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zoomScale="70" zoomScaleNormal="70" workbookViewId="0">
      <selection activeCell="A32" sqref="A32:Z64"/>
    </sheetView>
  </sheetViews>
  <sheetFormatPr defaultRowHeight="12"/>
  <cols>
    <col min="1" max="1" width="11.140625" style="10" customWidth="1"/>
    <col min="2" max="2" width="10.140625" style="10" customWidth="1"/>
    <col min="3" max="26" width="11" style="10" bestFit="1" customWidth="1"/>
    <col min="27" max="16384" width="9.140625" style="10"/>
  </cols>
  <sheetData>
    <row r="1" spans="1:26" s="7" customFormat="1" ht="15.75">
      <c r="A1" s="30" t="s">
        <v>35</v>
      </c>
    </row>
    <row r="2" spans="1:26" s="7" customFormat="1" ht="19.5" customHeight="1">
      <c r="A2" s="773" t="s">
        <v>28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26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6">
      <c r="A4" s="791"/>
      <c r="B4" s="792"/>
      <c r="C4" s="11" t="s">
        <v>2</v>
      </c>
      <c r="D4" s="11" t="s">
        <v>3</v>
      </c>
      <c r="E4" s="11" t="s">
        <v>4</v>
      </c>
      <c r="F4" s="11" t="s">
        <v>5</v>
      </c>
      <c r="G4" s="11" t="s">
        <v>2</v>
      </c>
      <c r="H4" s="11" t="s">
        <v>3</v>
      </c>
      <c r="I4" s="11" t="s">
        <v>4</v>
      </c>
      <c r="J4" s="11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6" ht="24">
      <c r="A5" s="14" t="s">
        <v>6</v>
      </c>
      <c r="B5" s="15" t="s">
        <v>7</v>
      </c>
      <c r="C5" s="17">
        <v>1690.07</v>
      </c>
      <c r="D5" s="17">
        <v>1996.11</v>
      </c>
      <c r="E5" s="17">
        <v>2156.8000000000002</v>
      </c>
      <c r="F5" s="17">
        <v>2294.36</v>
      </c>
      <c r="G5" s="17">
        <v>1498.33</v>
      </c>
      <c r="H5" s="17">
        <v>1804.36</v>
      </c>
      <c r="I5" s="17">
        <v>1965.06</v>
      </c>
      <c r="J5" s="17">
        <v>2102.62</v>
      </c>
      <c r="K5" s="17">
        <v>1417.17</v>
      </c>
      <c r="L5" s="17">
        <v>1723.21</v>
      </c>
      <c r="M5" s="17">
        <v>1883.9</v>
      </c>
      <c r="N5" s="17">
        <v>2021.46</v>
      </c>
      <c r="O5" s="17">
        <v>1565.74</v>
      </c>
      <c r="P5" s="17">
        <v>1871.78</v>
      </c>
      <c r="Q5" s="17">
        <v>2032.47</v>
      </c>
      <c r="R5" s="17">
        <v>2170.0300000000002</v>
      </c>
      <c r="S5" s="17">
        <v>1255.44</v>
      </c>
      <c r="T5" s="17">
        <v>1561.47</v>
      </c>
      <c r="U5" s="17">
        <v>1722.17</v>
      </c>
      <c r="V5" s="17">
        <v>1859.72</v>
      </c>
      <c r="W5" s="17">
        <v>1133.53</v>
      </c>
      <c r="X5" s="17">
        <v>1439.56</v>
      </c>
      <c r="Y5" s="17">
        <v>1600.26</v>
      </c>
      <c r="Z5" s="17">
        <v>1737.81</v>
      </c>
    </row>
    <row r="6" spans="1:26" ht="24">
      <c r="A6" s="14" t="s">
        <v>8</v>
      </c>
      <c r="B6" s="15" t="s">
        <v>7</v>
      </c>
      <c r="C6" s="17">
        <v>1683.04</v>
      </c>
      <c r="D6" s="17">
        <v>1989.07</v>
      </c>
      <c r="E6" s="17">
        <v>2149.7600000000002</v>
      </c>
      <c r="F6" s="17">
        <v>2287.3200000000002</v>
      </c>
      <c r="G6" s="17">
        <v>1492.29</v>
      </c>
      <c r="H6" s="17">
        <v>1798.32</v>
      </c>
      <c r="I6" s="17">
        <v>1959.02</v>
      </c>
      <c r="J6" s="17">
        <v>2096.5700000000002</v>
      </c>
      <c r="K6" s="17">
        <v>1411.55</v>
      </c>
      <c r="L6" s="17">
        <v>1717.59</v>
      </c>
      <c r="M6" s="17">
        <v>1878.28</v>
      </c>
      <c r="N6" s="17">
        <v>2015.84</v>
      </c>
      <c r="O6" s="17">
        <v>1559.35</v>
      </c>
      <c r="P6" s="17">
        <v>1865.39</v>
      </c>
      <c r="Q6" s="17">
        <v>2026.08</v>
      </c>
      <c r="R6" s="17">
        <v>2163.64</v>
      </c>
      <c r="S6" s="17">
        <v>1250.6600000000001</v>
      </c>
      <c r="T6" s="17">
        <v>1556.69</v>
      </c>
      <c r="U6" s="17">
        <v>1717.38</v>
      </c>
      <c r="V6" s="17">
        <v>1854.94</v>
      </c>
      <c r="W6" s="17">
        <v>1129.3800000000001</v>
      </c>
      <c r="X6" s="17">
        <v>1435.41</v>
      </c>
      <c r="Y6" s="17">
        <v>1596.11</v>
      </c>
      <c r="Z6" s="17">
        <v>1733.67</v>
      </c>
    </row>
    <row r="7" spans="1:26" ht="24">
      <c r="A7" s="14" t="s">
        <v>9</v>
      </c>
      <c r="B7" s="15" t="s">
        <v>7</v>
      </c>
      <c r="C7" s="17">
        <v>1642.05</v>
      </c>
      <c r="D7" s="17">
        <v>1948.09</v>
      </c>
      <c r="E7" s="17">
        <v>2108.7800000000002</v>
      </c>
      <c r="F7" s="17">
        <v>2246.34</v>
      </c>
      <c r="G7" s="17">
        <v>1457.1</v>
      </c>
      <c r="H7" s="17">
        <v>1763.14</v>
      </c>
      <c r="I7" s="17">
        <v>1923.83</v>
      </c>
      <c r="J7" s="17">
        <v>2061.39</v>
      </c>
      <c r="K7" s="17">
        <v>1378.82</v>
      </c>
      <c r="L7" s="17">
        <v>1684.85</v>
      </c>
      <c r="M7" s="17">
        <v>1845.55</v>
      </c>
      <c r="N7" s="17">
        <v>1983.1</v>
      </c>
      <c r="O7" s="17">
        <v>1522.12</v>
      </c>
      <c r="P7" s="17">
        <v>1828.15</v>
      </c>
      <c r="Q7" s="17">
        <v>1988.85</v>
      </c>
      <c r="R7" s="17">
        <v>2126.4</v>
      </c>
      <c r="S7" s="17">
        <v>1222.81</v>
      </c>
      <c r="T7" s="17">
        <v>1528.84</v>
      </c>
      <c r="U7" s="17">
        <v>1689.54</v>
      </c>
      <c r="V7" s="17">
        <v>1827.09</v>
      </c>
      <c r="W7" s="17">
        <v>1105.25</v>
      </c>
      <c r="X7" s="17">
        <v>1411.29</v>
      </c>
      <c r="Y7" s="17">
        <v>1571.98</v>
      </c>
      <c r="Z7" s="17">
        <v>1709.54</v>
      </c>
    </row>
    <row r="8" spans="1:26" ht="24">
      <c r="A8" s="14" t="s">
        <v>10</v>
      </c>
      <c r="B8" s="15" t="s">
        <v>7</v>
      </c>
      <c r="C8" s="17">
        <v>1608.85</v>
      </c>
      <c r="D8" s="17">
        <v>1914.88</v>
      </c>
      <c r="E8" s="17">
        <v>2075.58</v>
      </c>
      <c r="F8" s="17">
        <v>2213.13</v>
      </c>
      <c r="G8" s="17">
        <v>1428.6</v>
      </c>
      <c r="H8" s="17">
        <v>1734.63</v>
      </c>
      <c r="I8" s="17">
        <v>1895.32</v>
      </c>
      <c r="J8" s="17">
        <v>2032.88</v>
      </c>
      <c r="K8" s="17">
        <v>1352.3</v>
      </c>
      <c r="L8" s="17">
        <v>1658.33</v>
      </c>
      <c r="M8" s="17">
        <v>1819.02</v>
      </c>
      <c r="N8" s="17">
        <v>1956.58</v>
      </c>
      <c r="O8" s="17">
        <v>1491.95</v>
      </c>
      <c r="P8" s="17">
        <v>1797.99</v>
      </c>
      <c r="Q8" s="17">
        <v>1958.68</v>
      </c>
      <c r="R8" s="17">
        <v>2096.2399999999998</v>
      </c>
      <c r="S8" s="17">
        <v>1200.24</v>
      </c>
      <c r="T8" s="17">
        <v>1506.28</v>
      </c>
      <c r="U8" s="17">
        <v>1666.97</v>
      </c>
      <c r="V8" s="17">
        <v>1804.53</v>
      </c>
      <c r="W8" s="17">
        <v>1085.71</v>
      </c>
      <c r="X8" s="17">
        <v>1391.74</v>
      </c>
      <c r="Y8" s="17">
        <v>1552.43</v>
      </c>
      <c r="Z8" s="17">
        <v>1689.99</v>
      </c>
    </row>
    <row r="9" spans="1:26" ht="15.75" customHeight="1">
      <c r="A9" s="788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3" t="s">
        <v>21</v>
      </c>
      <c r="T9" s="793"/>
      <c r="U9" s="793"/>
      <c r="V9" s="793"/>
      <c r="W9" s="793" t="s">
        <v>22</v>
      </c>
      <c r="X9" s="793"/>
      <c r="Y9" s="793"/>
      <c r="Z9" s="793"/>
    </row>
    <row r="10" spans="1:26">
      <c r="A10" s="791"/>
      <c r="B10" s="792"/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2</v>
      </c>
      <c r="H10" s="11" t="s">
        <v>3</v>
      </c>
      <c r="I10" s="11" t="s">
        <v>4</v>
      </c>
      <c r="J10" s="11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13" t="s">
        <v>5</v>
      </c>
    </row>
    <row r="11" spans="1:26" ht="24">
      <c r="A11" s="14" t="s">
        <v>6</v>
      </c>
      <c r="B11" s="15" t="s">
        <v>7</v>
      </c>
      <c r="C11" s="17">
        <v>1153.44</v>
      </c>
      <c r="D11" s="17">
        <v>1459.48</v>
      </c>
      <c r="E11" s="17">
        <v>1620.17</v>
      </c>
      <c r="F11" s="17">
        <v>1757.73</v>
      </c>
      <c r="G11" s="17">
        <v>1473.26</v>
      </c>
      <c r="H11" s="17">
        <v>1779.29</v>
      </c>
      <c r="I11" s="17">
        <v>1939.99</v>
      </c>
      <c r="J11" s="17">
        <v>2077.5500000000002</v>
      </c>
      <c r="K11" s="17">
        <v>1436.24</v>
      </c>
      <c r="L11" s="17">
        <v>1742.27</v>
      </c>
      <c r="M11" s="17">
        <v>1902.97</v>
      </c>
      <c r="N11" s="17">
        <v>2040.52</v>
      </c>
      <c r="O11" s="17">
        <v>1356.09</v>
      </c>
      <c r="P11" s="17">
        <v>1662.13</v>
      </c>
      <c r="Q11" s="17">
        <v>1822.82</v>
      </c>
      <c r="R11" s="17">
        <v>1960.38</v>
      </c>
      <c r="S11" s="17">
        <v>1738.44</v>
      </c>
      <c r="T11" s="17">
        <v>2044.47</v>
      </c>
      <c r="U11" s="17">
        <v>2205.17</v>
      </c>
      <c r="V11" s="17">
        <v>2342.73</v>
      </c>
      <c r="W11" s="17">
        <v>1816.4</v>
      </c>
      <c r="X11" s="17">
        <v>2122.4299999999998</v>
      </c>
      <c r="Y11" s="17">
        <v>2283.13</v>
      </c>
      <c r="Z11" s="17">
        <v>2420.6799999999998</v>
      </c>
    </row>
    <row r="12" spans="1:26" ht="24">
      <c r="A12" s="14" t="s">
        <v>8</v>
      </c>
      <c r="B12" s="15" t="s">
        <v>7</v>
      </c>
      <c r="C12" s="17">
        <v>1145.55</v>
      </c>
      <c r="D12" s="17">
        <v>1451.58</v>
      </c>
      <c r="E12" s="17">
        <v>1612.28</v>
      </c>
      <c r="F12" s="17">
        <v>1749.84</v>
      </c>
      <c r="G12" s="17">
        <v>1462.28</v>
      </c>
      <c r="H12" s="17">
        <v>1768.31</v>
      </c>
      <c r="I12" s="17">
        <v>1929.01</v>
      </c>
      <c r="J12" s="17">
        <v>2066.56</v>
      </c>
      <c r="K12" s="17">
        <v>1430.52</v>
      </c>
      <c r="L12" s="17">
        <v>1736.55</v>
      </c>
      <c r="M12" s="17">
        <v>1897.25</v>
      </c>
      <c r="N12" s="17">
        <v>2034.8</v>
      </c>
      <c r="O12" s="17">
        <v>1350.8</v>
      </c>
      <c r="P12" s="17">
        <v>1656.83</v>
      </c>
      <c r="Q12" s="17">
        <v>1817.52</v>
      </c>
      <c r="R12" s="17">
        <v>1955.08</v>
      </c>
      <c r="S12" s="17">
        <v>1731.16</v>
      </c>
      <c r="T12" s="17">
        <v>2037.19</v>
      </c>
      <c r="U12" s="17">
        <v>2197.89</v>
      </c>
      <c r="V12" s="17">
        <v>2335.4499999999998</v>
      </c>
      <c r="W12" s="17">
        <v>1808.71</v>
      </c>
      <c r="X12" s="17">
        <v>2114.7399999999998</v>
      </c>
      <c r="Y12" s="17">
        <v>2275.44</v>
      </c>
      <c r="Z12" s="17">
        <v>2412.9899999999998</v>
      </c>
    </row>
    <row r="13" spans="1:26" ht="24">
      <c r="A13" s="14" t="s">
        <v>9</v>
      </c>
      <c r="B13" s="15" t="s">
        <v>7</v>
      </c>
      <c r="C13" s="17">
        <v>1098.5</v>
      </c>
      <c r="D13" s="17">
        <v>1404.53</v>
      </c>
      <c r="E13" s="17">
        <v>1565.22</v>
      </c>
      <c r="F13" s="17">
        <v>1702.78</v>
      </c>
      <c r="G13" s="17">
        <v>1396.77</v>
      </c>
      <c r="H13" s="17">
        <v>1702.81</v>
      </c>
      <c r="I13" s="17">
        <v>1863.5</v>
      </c>
      <c r="J13" s="17">
        <v>2001.06</v>
      </c>
      <c r="K13" s="17">
        <v>1397.2</v>
      </c>
      <c r="L13" s="17">
        <v>1703.23</v>
      </c>
      <c r="M13" s="17">
        <v>1863.92</v>
      </c>
      <c r="N13" s="17">
        <v>2001.48</v>
      </c>
      <c r="O13" s="17">
        <v>1319.93</v>
      </c>
      <c r="P13" s="17">
        <v>1625.97</v>
      </c>
      <c r="Q13" s="17">
        <v>1786.66</v>
      </c>
      <c r="R13" s="17">
        <v>1924.22</v>
      </c>
      <c r="S13" s="17">
        <v>1688.75</v>
      </c>
      <c r="T13" s="17">
        <v>1994.79</v>
      </c>
      <c r="U13" s="17">
        <v>2155.48</v>
      </c>
      <c r="V13" s="17">
        <v>2293.04</v>
      </c>
      <c r="W13" s="17">
        <v>1763.93</v>
      </c>
      <c r="X13" s="17">
        <v>2069.96</v>
      </c>
      <c r="Y13" s="17">
        <v>2230.65</v>
      </c>
      <c r="Z13" s="17">
        <v>2368.21</v>
      </c>
    </row>
    <row r="14" spans="1:26" ht="24">
      <c r="A14" s="14" t="s">
        <v>10</v>
      </c>
      <c r="B14" s="15" t="s">
        <v>7</v>
      </c>
      <c r="C14" s="17">
        <v>1060.55</v>
      </c>
      <c r="D14" s="17">
        <v>1366.59</v>
      </c>
      <c r="E14" s="17">
        <v>1527.28</v>
      </c>
      <c r="F14" s="17">
        <v>1664.84</v>
      </c>
      <c r="G14" s="17">
        <v>1343.95</v>
      </c>
      <c r="H14" s="17">
        <v>1649.99</v>
      </c>
      <c r="I14" s="17">
        <v>1810.68</v>
      </c>
      <c r="J14" s="17">
        <v>1948.24</v>
      </c>
      <c r="K14" s="17">
        <v>1370.2</v>
      </c>
      <c r="L14" s="17">
        <v>1676.23</v>
      </c>
      <c r="M14" s="17">
        <v>1836.93</v>
      </c>
      <c r="N14" s="17">
        <v>1974.48</v>
      </c>
      <c r="O14" s="17">
        <v>1294.93</v>
      </c>
      <c r="P14" s="17">
        <v>1600.96</v>
      </c>
      <c r="Q14" s="17">
        <v>1761.66</v>
      </c>
      <c r="R14" s="17">
        <v>1899.21</v>
      </c>
      <c r="S14" s="17">
        <v>1654.4</v>
      </c>
      <c r="T14" s="17">
        <v>1960.43</v>
      </c>
      <c r="U14" s="17">
        <v>2121.12</v>
      </c>
      <c r="V14" s="17">
        <v>2258.6799999999998</v>
      </c>
      <c r="W14" s="17">
        <v>1727.64</v>
      </c>
      <c r="X14" s="17">
        <v>2033.67</v>
      </c>
      <c r="Y14" s="17">
        <v>2194.37</v>
      </c>
      <c r="Z14" s="17">
        <v>2331.9299999999998</v>
      </c>
    </row>
    <row r="15" spans="1:26" s="7" customFormat="1" ht="38.25" customHeight="1">
      <c r="A15" s="7" t="s">
        <v>30</v>
      </c>
    </row>
    <row r="16" spans="1:26" ht="57" hidden="1" customHeight="1">
      <c r="A16" s="794" t="s">
        <v>29</v>
      </c>
      <c r="B16" s="795"/>
      <c r="C16" s="795"/>
      <c r="D16" s="795"/>
      <c r="E16" s="795"/>
      <c r="F16" s="795"/>
      <c r="G16" s="795"/>
      <c r="H16" s="795"/>
      <c r="I16" s="795"/>
      <c r="J16" s="795"/>
      <c r="K16" s="795"/>
      <c r="L16" s="795"/>
      <c r="M16" s="795"/>
      <c r="N16" s="795"/>
      <c r="O16" s="795"/>
      <c r="P16" s="795"/>
      <c r="Q16" s="795"/>
      <c r="R16" s="795"/>
      <c r="S16" s="795"/>
      <c r="T16" s="795"/>
      <c r="U16" s="795"/>
      <c r="V16" s="795"/>
      <c r="W16" s="795"/>
      <c r="X16" s="795"/>
      <c r="Y16" s="795"/>
      <c r="Z16" s="795"/>
    </row>
    <row r="17" spans="1:26" ht="15" hidden="1" customHeight="1">
      <c r="A17" s="788" t="s">
        <v>26</v>
      </c>
      <c r="B17" s="790"/>
      <c r="C17" s="793" t="s">
        <v>11</v>
      </c>
      <c r="D17" s="793"/>
      <c r="E17" s="793"/>
      <c r="F17" s="793"/>
      <c r="G17" s="793" t="s">
        <v>12</v>
      </c>
      <c r="H17" s="793"/>
      <c r="I17" s="793"/>
      <c r="J17" s="793"/>
      <c r="K17" s="788" t="s">
        <v>13</v>
      </c>
      <c r="L17" s="789"/>
      <c r="M17" s="789"/>
      <c r="N17" s="790"/>
      <c r="O17" s="788" t="s">
        <v>14</v>
      </c>
      <c r="P17" s="789"/>
      <c r="Q17" s="789"/>
      <c r="R17" s="790"/>
      <c r="S17" s="788" t="s">
        <v>15</v>
      </c>
      <c r="T17" s="789"/>
      <c r="U17" s="789"/>
      <c r="V17" s="790"/>
      <c r="W17" s="788" t="s">
        <v>16</v>
      </c>
      <c r="X17" s="789"/>
      <c r="Y17" s="789"/>
      <c r="Z17" s="790"/>
    </row>
    <row r="18" spans="1:26" hidden="1">
      <c r="A18" s="791"/>
      <c r="B18" s="792"/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2</v>
      </c>
      <c r="H18" s="11" t="s">
        <v>3</v>
      </c>
      <c r="I18" s="11" t="s">
        <v>4</v>
      </c>
      <c r="J18" s="11" t="s">
        <v>5</v>
      </c>
      <c r="K18" s="12" t="s">
        <v>2</v>
      </c>
      <c r="L18" s="12" t="s">
        <v>3</v>
      </c>
      <c r="M18" s="12" t="s">
        <v>4</v>
      </c>
      <c r="N18" s="12" t="s">
        <v>5</v>
      </c>
      <c r="O18" s="13" t="s">
        <v>2</v>
      </c>
      <c r="P18" s="13" t="s">
        <v>3</v>
      </c>
      <c r="Q18" s="13" t="s">
        <v>4</v>
      </c>
      <c r="R18" s="13" t="s">
        <v>5</v>
      </c>
      <c r="S18" s="12" t="s">
        <v>2</v>
      </c>
      <c r="T18" s="12" t="s">
        <v>3</v>
      </c>
      <c r="U18" s="12" t="s">
        <v>4</v>
      </c>
      <c r="V18" s="12" t="s">
        <v>5</v>
      </c>
      <c r="W18" s="13" t="s">
        <v>2</v>
      </c>
      <c r="X18" s="13" t="s">
        <v>3</v>
      </c>
      <c r="Y18" s="13" t="s">
        <v>4</v>
      </c>
      <c r="Z18" s="13" t="s">
        <v>5</v>
      </c>
    </row>
    <row r="19" spans="1:26" ht="24" hidden="1">
      <c r="A19" s="14" t="s">
        <v>6</v>
      </c>
      <c r="B19" s="15" t="s">
        <v>7</v>
      </c>
      <c r="C19" s="17">
        <v>1825.28</v>
      </c>
      <c r="D19" s="17">
        <v>2155.79</v>
      </c>
      <c r="E19" s="17">
        <v>2329.34</v>
      </c>
      <c r="F19" s="17">
        <v>2477.91</v>
      </c>
      <c r="G19" s="17">
        <v>1618.2</v>
      </c>
      <c r="H19" s="17">
        <v>1948.71</v>
      </c>
      <c r="I19" s="17">
        <v>2122.2600000000002</v>
      </c>
      <c r="J19" s="17">
        <v>2270.8200000000002</v>
      </c>
      <c r="K19" s="17">
        <v>1530.55</v>
      </c>
      <c r="L19" s="17">
        <v>1861.06</v>
      </c>
      <c r="M19" s="17">
        <v>2034.61</v>
      </c>
      <c r="N19" s="17">
        <v>2183.1799999999998</v>
      </c>
      <c r="O19" s="17">
        <v>1691</v>
      </c>
      <c r="P19" s="17">
        <v>2021.52</v>
      </c>
      <c r="Q19" s="17">
        <v>2195.0700000000002</v>
      </c>
      <c r="R19" s="17">
        <v>2343.63</v>
      </c>
      <c r="S19" s="17">
        <v>1355.87</v>
      </c>
      <c r="T19" s="17">
        <v>1686.39</v>
      </c>
      <c r="U19" s="17">
        <v>1859.94</v>
      </c>
      <c r="V19" s="17">
        <v>2008.5</v>
      </c>
      <c r="W19" s="17">
        <v>1224.21</v>
      </c>
      <c r="X19" s="17">
        <v>1554.73</v>
      </c>
      <c r="Y19" s="17">
        <v>1728.28</v>
      </c>
      <c r="Z19" s="17">
        <v>1876.84</v>
      </c>
    </row>
    <row r="20" spans="1:26" ht="24" hidden="1">
      <c r="A20" s="14" t="s">
        <v>8</v>
      </c>
      <c r="B20" s="15" t="s">
        <v>7</v>
      </c>
      <c r="C20" s="17">
        <v>1817.68</v>
      </c>
      <c r="D20" s="17">
        <v>2148.19</v>
      </c>
      <c r="E20" s="17">
        <v>2321.7399999999998</v>
      </c>
      <c r="F20" s="17">
        <v>2470.31</v>
      </c>
      <c r="G20" s="17">
        <v>1611.67</v>
      </c>
      <c r="H20" s="17">
        <v>1942.19</v>
      </c>
      <c r="I20" s="17">
        <v>2115.7399999999998</v>
      </c>
      <c r="J20" s="17">
        <v>2264.3000000000002</v>
      </c>
      <c r="K20" s="17">
        <v>1524.48</v>
      </c>
      <c r="L20" s="17">
        <v>1855</v>
      </c>
      <c r="M20" s="17">
        <v>2028.54</v>
      </c>
      <c r="N20" s="17">
        <v>2177.11</v>
      </c>
      <c r="O20" s="17">
        <v>1684.1</v>
      </c>
      <c r="P20" s="17">
        <v>2014.62</v>
      </c>
      <c r="Q20" s="17">
        <v>2188.17</v>
      </c>
      <c r="R20" s="17">
        <v>2336.73</v>
      </c>
      <c r="S20" s="17">
        <v>1350.71</v>
      </c>
      <c r="T20" s="17">
        <v>1681.23</v>
      </c>
      <c r="U20" s="17">
        <v>1854.77</v>
      </c>
      <c r="V20" s="17">
        <v>2003.34</v>
      </c>
      <c r="W20" s="17">
        <v>1219.73</v>
      </c>
      <c r="X20" s="17">
        <v>1550.25</v>
      </c>
      <c r="Y20" s="17">
        <v>1723.8</v>
      </c>
      <c r="Z20" s="17">
        <v>1872.36</v>
      </c>
    </row>
    <row r="21" spans="1:26" ht="24" hidden="1">
      <c r="A21" s="14" t="s">
        <v>9</v>
      </c>
      <c r="B21" s="15" t="s">
        <v>7</v>
      </c>
      <c r="C21" s="17">
        <v>1773.42</v>
      </c>
      <c r="D21" s="17">
        <v>2103.94</v>
      </c>
      <c r="E21" s="17">
        <v>2277.48</v>
      </c>
      <c r="F21" s="17">
        <v>2426.0500000000002</v>
      </c>
      <c r="G21" s="17">
        <v>1573.67</v>
      </c>
      <c r="H21" s="17">
        <v>1904.19</v>
      </c>
      <c r="I21" s="17">
        <v>2077.7399999999998</v>
      </c>
      <c r="J21" s="17">
        <v>2226.3000000000002</v>
      </c>
      <c r="K21" s="17">
        <v>1489.12</v>
      </c>
      <c r="L21" s="17">
        <v>1819.64</v>
      </c>
      <c r="M21" s="17">
        <v>1993.19</v>
      </c>
      <c r="N21" s="17">
        <v>2141.75</v>
      </c>
      <c r="O21" s="17">
        <v>1643.89</v>
      </c>
      <c r="P21" s="17">
        <v>1974.41</v>
      </c>
      <c r="Q21" s="17">
        <v>2147.9499999999998</v>
      </c>
      <c r="R21" s="17">
        <v>2296.52</v>
      </c>
      <c r="S21" s="17">
        <v>1320.63</v>
      </c>
      <c r="T21" s="17">
        <v>1651.15</v>
      </c>
      <c r="U21" s="17">
        <v>1824.7</v>
      </c>
      <c r="V21" s="17">
        <v>1973.26</v>
      </c>
      <c r="W21" s="17">
        <v>1193.67</v>
      </c>
      <c r="X21" s="17">
        <v>1524.19</v>
      </c>
      <c r="Y21" s="17">
        <v>1697.74</v>
      </c>
      <c r="Z21" s="17">
        <v>1846.3</v>
      </c>
    </row>
    <row r="22" spans="1:26" ht="24" hidden="1">
      <c r="A22" s="14" t="s">
        <v>10</v>
      </c>
      <c r="B22" s="15" t="s">
        <v>7</v>
      </c>
      <c r="C22" s="17">
        <v>1737.56</v>
      </c>
      <c r="D22" s="17">
        <v>2068.0700000000002</v>
      </c>
      <c r="E22" s="17">
        <v>2241.62</v>
      </c>
      <c r="F22" s="17">
        <v>2390.19</v>
      </c>
      <c r="G22" s="17">
        <v>1542.88</v>
      </c>
      <c r="H22" s="17">
        <v>1873.4</v>
      </c>
      <c r="I22" s="17">
        <v>2046.95</v>
      </c>
      <c r="J22" s="17">
        <v>2195.5100000000002</v>
      </c>
      <c r="K22" s="17">
        <v>1460.48</v>
      </c>
      <c r="L22" s="17">
        <v>1791</v>
      </c>
      <c r="M22" s="17">
        <v>1964.55</v>
      </c>
      <c r="N22" s="17">
        <v>2113.11</v>
      </c>
      <c r="O22" s="17">
        <v>1611.31</v>
      </c>
      <c r="P22" s="17">
        <v>1941.82</v>
      </c>
      <c r="Q22" s="17">
        <v>2115.37</v>
      </c>
      <c r="R22" s="17">
        <v>2263.94</v>
      </c>
      <c r="S22" s="17">
        <v>1296.26</v>
      </c>
      <c r="T22" s="17">
        <v>1626.78</v>
      </c>
      <c r="U22" s="17">
        <v>1800.33</v>
      </c>
      <c r="V22" s="17">
        <v>1948.89</v>
      </c>
      <c r="W22" s="17">
        <v>1172.56</v>
      </c>
      <c r="X22" s="17">
        <v>1503.08</v>
      </c>
      <c r="Y22" s="17">
        <v>1676.63</v>
      </c>
      <c r="Z22" s="17">
        <v>1825.19</v>
      </c>
    </row>
    <row r="23" spans="1:26" ht="15" hidden="1" customHeight="1">
      <c r="A23" s="788" t="s">
        <v>27</v>
      </c>
      <c r="B23" s="790"/>
      <c r="C23" s="793" t="s">
        <v>17</v>
      </c>
      <c r="D23" s="793"/>
      <c r="E23" s="793"/>
      <c r="F23" s="793"/>
      <c r="G23" s="793" t="s">
        <v>18</v>
      </c>
      <c r="H23" s="793"/>
      <c r="I23" s="793"/>
      <c r="J23" s="793"/>
      <c r="K23" s="793" t="s">
        <v>19</v>
      </c>
      <c r="L23" s="793"/>
      <c r="M23" s="793"/>
      <c r="N23" s="793"/>
      <c r="O23" s="793" t="s">
        <v>20</v>
      </c>
      <c r="P23" s="793"/>
      <c r="Q23" s="793"/>
      <c r="R23" s="793"/>
      <c r="S23" s="793" t="s">
        <v>21</v>
      </c>
      <c r="T23" s="793"/>
      <c r="U23" s="793"/>
      <c r="V23" s="793"/>
      <c r="W23" s="793" t="s">
        <v>22</v>
      </c>
      <c r="X23" s="793"/>
      <c r="Y23" s="793"/>
      <c r="Z23" s="793"/>
    </row>
    <row r="24" spans="1:26" hidden="1">
      <c r="A24" s="791"/>
      <c r="B24" s="792"/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2</v>
      </c>
      <c r="H24" s="11" t="s">
        <v>3</v>
      </c>
      <c r="I24" s="11" t="s">
        <v>4</v>
      </c>
      <c r="J24" s="11" t="s">
        <v>5</v>
      </c>
      <c r="K24" s="12" t="s">
        <v>2</v>
      </c>
      <c r="L24" s="12" t="s">
        <v>3</v>
      </c>
      <c r="M24" s="12" t="s">
        <v>4</v>
      </c>
      <c r="N24" s="12" t="s">
        <v>5</v>
      </c>
      <c r="O24" s="13" t="s">
        <v>2</v>
      </c>
      <c r="P24" s="13" t="s">
        <v>3</v>
      </c>
      <c r="Q24" s="13" t="s">
        <v>4</v>
      </c>
      <c r="R24" s="13" t="s">
        <v>5</v>
      </c>
      <c r="S24" s="12" t="s">
        <v>2</v>
      </c>
      <c r="T24" s="12" t="s">
        <v>3</v>
      </c>
      <c r="U24" s="12" t="s">
        <v>4</v>
      </c>
      <c r="V24" s="12" t="s">
        <v>5</v>
      </c>
      <c r="W24" s="13" t="s">
        <v>2</v>
      </c>
      <c r="X24" s="13" t="s">
        <v>3</v>
      </c>
      <c r="Y24" s="13" t="s">
        <v>4</v>
      </c>
      <c r="Z24" s="13" t="s">
        <v>5</v>
      </c>
    </row>
    <row r="25" spans="1:26" ht="24" hidden="1">
      <c r="A25" s="14" t="s">
        <v>6</v>
      </c>
      <c r="B25" s="15" t="s">
        <v>7</v>
      </c>
      <c r="C25" s="17">
        <v>1245.72</v>
      </c>
      <c r="D25" s="17">
        <v>1576.24</v>
      </c>
      <c r="E25" s="17">
        <v>1749.79</v>
      </c>
      <c r="F25" s="17">
        <v>1898.35</v>
      </c>
      <c r="G25" s="17">
        <v>1591.12</v>
      </c>
      <c r="H25" s="17">
        <v>1921.64</v>
      </c>
      <c r="I25" s="17">
        <v>2095.19</v>
      </c>
      <c r="J25" s="17">
        <v>2243.75</v>
      </c>
      <c r="K25" s="17">
        <v>1551.14</v>
      </c>
      <c r="L25" s="17">
        <v>1881.65</v>
      </c>
      <c r="M25" s="17">
        <v>2055.1999999999998</v>
      </c>
      <c r="N25" s="17">
        <v>2203.77</v>
      </c>
      <c r="O25" s="17">
        <v>1464.58</v>
      </c>
      <c r="P25" s="17">
        <v>1795.1</v>
      </c>
      <c r="Q25" s="17">
        <v>1968.65</v>
      </c>
      <c r="R25" s="17">
        <v>2117.21</v>
      </c>
      <c r="S25" s="17">
        <v>1877.52</v>
      </c>
      <c r="T25" s="17">
        <v>2208.0300000000002</v>
      </c>
      <c r="U25" s="17">
        <v>2381.58</v>
      </c>
      <c r="V25" s="17">
        <v>2530.14</v>
      </c>
      <c r="W25" s="17">
        <v>1961.71</v>
      </c>
      <c r="X25" s="17">
        <v>2292.23</v>
      </c>
      <c r="Y25" s="17">
        <v>2465.7800000000002</v>
      </c>
      <c r="Z25" s="17">
        <v>2614.34</v>
      </c>
    </row>
    <row r="26" spans="1:26" ht="24" hidden="1">
      <c r="A26" s="14" t="s">
        <v>8</v>
      </c>
      <c r="B26" s="15" t="s">
        <v>7</v>
      </c>
      <c r="C26" s="17">
        <v>1237.19</v>
      </c>
      <c r="D26" s="17">
        <v>1567.71</v>
      </c>
      <c r="E26" s="17">
        <v>1741.26</v>
      </c>
      <c r="F26" s="17">
        <v>1889.82</v>
      </c>
      <c r="G26" s="17">
        <v>1579.26</v>
      </c>
      <c r="H26" s="17">
        <v>1909.78</v>
      </c>
      <c r="I26" s="17">
        <v>2083.33</v>
      </c>
      <c r="J26" s="17">
        <v>2231.89</v>
      </c>
      <c r="K26" s="17">
        <v>1544.96</v>
      </c>
      <c r="L26" s="17">
        <v>1875.48</v>
      </c>
      <c r="M26" s="17">
        <v>2049.0300000000002</v>
      </c>
      <c r="N26" s="17">
        <v>2197.59</v>
      </c>
      <c r="O26" s="17">
        <v>1458.86</v>
      </c>
      <c r="P26" s="17">
        <v>1789.38</v>
      </c>
      <c r="Q26" s="17">
        <v>1962.93</v>
      </c>
      <c r="R26" s="17">
        <v>2111.4899999999998</v>
      </c>
      <c r="S26" s="17">
        <v>1869.65</v>
      </c>
      <c r="T26" s="17">
        <v>2200.17</v>
      </c>
      <c r="U26" s="17">
        <v>2373.7199999999998</v>
      </c>
      <c r="V26" s="17">
        <v>2522.2800000000002</v>
      </c>
      <c r="W26" s="17">
        <v>1953.41</v>
      </c>
      <c r="X26" s="17">
        <v>2283.92</v>
      </c>
      <c r="Y26" s="17">
        <v>2457.4699999999998</v>
      </c>
      <c r="Z26" s="17">
        <v>2606.0300000000002</v>
      </c>
    </row>
    <row r="27" spans="1:26" ht="24" hidden="1">
      <c r="A27" s="14" t="s">
        <v>9</v>
      </c>
      <c r="B27" s="15" t="s">
        <v>7</v>
      </c>
      <c r="C27" s="17">
        <v>1186.3800000000001</v>
      </c>
      <c r="D27" s="17">
        <v>1516.89</v>
      </c>
      <c r="E27" s="17">
        <v>1690.44</v>
      </c>
      <c r="F27" s="17">
        <v>1839</v>
      </c>
      <c r="G27" s="17">
        <v>1508.51</v>
      </c>
      <c r="H27" s="17">
        <v>1839.03</v>
      </c>
      <c r="I27" s="17">
        <v>2012.58</v>
      </c>
      <c r="J27" s="17">
        <v>2161.14</v>
      </c>
      <c r="K27" s="17">
        <v>1508.97</v>
      </c>
      <c r="L27" s="17">
        <v>1839.49</v>
      </c>
      <c r="M27" s="17">
        <v>2013.04</v>
      </c>
      <c r="N27" s="17">
        <v>2161.6</v>
      </c>
      <c r="O27" s="17">
        <v>1425.53</v>
      </c>
      <c r="P27" s="17">
        <v>1756.05</v>
      </c>
      <c r="Q27" s="17">
        <v>1929.59</v>
      </c>
      <c r="R27" s="17">
        <v>2078.16</v>
      </c>
      <c r="S27" s="17">
        <v>1823.86</v>
      </c>
      <c r="T27" s="17">
        <v>2154.37</v>
      </c>
      <c r="U27" s="17">
        <v>2327.92</v>
      </c>
      <c r="V27" s="17">
        <v>2476.48</v>
      </c>
      <c r="W27" s="17">
        <v>1905.04</v>
      </c>
      <c r="X27" s="17">
        <v>2235.56</v>
      </c>
      <c r="Y27" s="17">
        <v>2409.11</v>
      </c>
      <c r="Z27" s="17">
        <v>2557.67</v>
      </c>
    </row>
    <row r="28" spans="1:26" ht="24" hidden="1">
      <c r="A28" s="14" t="s">
        <v>10</v>
      </c>
      <c r="B28" s="15" t="s">
        <v>7</v>
      </c>
      <c r="C28" s="17">
        <v>1145.4000000000001</v>
      </c>
      <c r="D28" s="17">
        <v>1475.91</v>
      </c>
      <c r="E28" s="17">
        <v>1649.46</v>
      </c>
      <c r="F28" s="17">
        <v>1798.03</v>
      </c>
      <c r="G28" s="17">
        <v>1451.47</v>
      </c>
      <c r="H28" s="17">
        <v>1781.99</v>
      </c>
      <c r="I28" s="17">
        <v>1955.54</v>
      </c>
      <c r="J28" s="17">
        <v>2104.1</v>
      </c>
      <c r="K28" s="17">
        <v>1479.82</v>
      </c>
      <c r="L28" s="17">
        <v>1810.33</v>
      </c>
      <c r="M28" s="17">
        <v>1983.88</v>
      </c>
      <c r="N28" s="17">
        <v>2132.44</v>
      </c>
      <c r="O28" s="17">
        <v>1398.52</v>
      </c>
      <c r="P28" s="17">
        <v>1729.04</v>
      </c>
      <c r="Q28" s="17">
        <v>1902.59</v>
      </c>
      <c r="R28" s="17">
        <v>2051.15</v>
      </c>
      <c r="S28" s="17">
        <v>1786.75</v>
      </c>
      <c r="T28" s="17">
        <v>2117.2600000000002</v>
      </c>
      <c r="U28" s="17">
        <v>2290.81</v>
      </c>
      <c r="V28" s="17">
        <v>2439.38</v>
      </c>
      <c r="W28" s="17">
        <v>1865.85</v>
      </c>
      <c r="X28" s="17">
        <v>2196.37</v>
      </c>
      <c r="Y28" s="17">
        <v>2369.92</v>
      </c>
      <c r="Z28" s="17">
        <v>2518.48</v>
      </c>
    </row>
    <row r="29" spans="1:26" hidden="1"/>
    <row r="30" spans="1:26" hidden="1"/>
    <row r="31" spans="1:26" hidden="1"/>
    <row r="33" spans="1:26" ht="15.75">
      <c r="A33" s="773" t="s">
        <v>31</v>
      </c>
      <c r="B33" s="774"/>
      <c r="C33" s="774"/>
      <c r="D33" s="774"/>
      <c r="E33" s="774"/>
      <c r="F33" s="774"/>
      <c r="G33" s="774"/>
      <c r="H33" s="774"/>
      <c r="I33" s="774"/>
      <c r="J33" s="774"/>
      <c r="K33" s="774"/>
      <c r="L33" s="774"/>
      <c r="M33" s="774"/>
      <c r="N33" s="774"/>
      <c r="O33" s="774"/>
      <c r="P33" s="774"/>
      <c r="Q33" s="774"/>
      <c r="R33" s="774"/>
      <c r="S33" s="774"/>
      <c r="T33" s="774"/>
      <c r="U33" s="774"/>
      <c r="V33" s="774"/>
      <c r="W33" s="774"/>
      <c r="X33" s="774"/>
      <c r="Y33" s="774"/>
      <c r="Z33" s="774"/>
    </row>
    <row r="34" spans="1:26">
      <c r="A34" s="788" t="s">
        <v>26</v>
      </c>
      <c r="B34" s="790"/>
      <c r="C34" s="793" t="s">
        <v>11</v>
      </c>
      <c r="D34" s="793"/>
      <c r="E34" s="793"/>
      <c r="F34" s="793"/>
      <c r="G34" s="793" t="s">
        <v>12</v>
      </c>
      <c r="H34" s="793"/>
      <c r="I34" s="793"/>
      <c r="J34" s="793"/>
      <c r="K34" s="788" t="s">
        <v>13</v>
      </c>
      <c r="L34" s="789"/>
      <c r="M34" s="789"/>
      <c r="N34" s="790"/>
      <c r="O34" s="788" t="s">
        <v>14</v>
      </c>
      <c r="P34" s="789"/>
      <c r="Q34" s="789"/>
      <c r="R34" s="790"/>
      <c r="S34" s="788" t="s">
        <v>15</v>
      </c>
      <c r="T34" s="789"/>
      <c r="U34" s="789"/>
      <c r="V34" s="790"/>
      <c r="W34" s="788" t="s">
        <v>16</v>
      </c>
      <c r="X34" s="789"/>
      <c r="Y34" s="789"/>
      <c r="Z34" s="790"/>
    </row>
    <row r="35" spans="1:26">
      <c r="A35" s="791"/>
      <c r="B35" s="792"/>
      <c r="C35" s="650" t="s">
        <v>2</v>
      </c>
      <c r="D35" s="650" t="s">
        <v>3</v>
      </c>
      <c r="E35" s="650" t="s">
        <v>4</v>
      </c>
      <c r="F35" s="650" t="s">
        <v>5</v>
      </c>
      <c r="G35" s="650" t="s">
        <v>2</v>
      </c>
      <c r="H35" s="650" t="s">
        <v>3</v>
      </c>
      <c r="I35" s="650" t="s">
        <v>4</v>
      </c>
      <c r="J35" s="650" t="s">
        <v>5</v>
      </c>
      <c r="K35" s="12" t="s">
        <v>2</v>
      </c>
      <c r="L35" s="12" t="s">
        <v>3</v>
      </c>
      <c r="M35" s="12" t="s">
        <v>4</v>
      </c>
      <c r="N35" s="12" t="s">
        <v>5</v>
      </c>
      <c r="O35" s="13" t="s">
        <v>2</v>
      </c>
      <c r="P35" s="13" t="s">
        <v>3</v>
      </c>
      <c r="Q35" s="13" t="s">
        <v>4</v>
      </c>
      <c r="R35" s="13" t="s">
        <v>5</v>
      </c>
      <c r="S35" s="12" t="s">
        <v>2</v>
      </c>
      <c r="T35" s="12" t="s">
        <v>3</v>
      </c>
      <c r="U35" s="12" t="s">
        <v>4</v>
      </c>
      <c r="V35" s="12" t="s">
        <v>5</v>
      </c>
      <c r="W35" s="13" t="s">
        <v>2</v>
      </c>
      <c r="X35" s="13" t="s">
        <v>3</v>
      </c>
      <c r="Y35" s="13" t="s">
        <v>4</v>
      </c>
      <c r="Z35" s="13" t="s">
        <v>5</v>
      </c>
    </row>
    <row r="36" spans="1:26" ht="24">
      <c r="A36" s="14" t="s">
        <v>6</v>
      </c>
      <c r="B36" s="15" t="s">
        <v>7</v>
      </c>
      <c r="C36" s="16">
        <v>1994.12</v>
      </c>
      <c r="D36" s="16">
        <v>2268.5899999999997</v>
      </c>
      <c r="E36" s="16">
        <v>2412.71</v>
      </c>
      <c r="F36" s="16">
        <v>2536.08</v>
      </c>
      <c r="G36" s="16">
        <v>2504.65</v>
      </c>
      <c r="H36" s="16">
        <v>2779.1200000000003</v>
      </c>
      <c r="I36" s="16">
        <v>2923.2400000000002</v>
      </c>
      <c r="J36" s="16">
        <v>3046.61</v>
      </c>
      <c r="K36" s="16">
        <v>2156.41</v>
      </c>
      <c r="L36" s="16">
        <v>2430.88</v>
      </c>
      <c r="M36" s="16">
        <v>2575</v>
      </c>
      <c r="N36" s="16">
        <v>2698.3700000000003</v>
      </c>
      <c r="O36" s="16">
        <v>2152.33</v>
      </c>
      <c r="P36" s="16">
        <v>2426.8000000000002</v>
      </c>
      <c r="Q36" s="16">
        <v>2570.92</v>
      </c>
      <c r="R36" s="16">
        <v>2694.29</v>
      </c>
      <c r="S36" s="16">
        <v>1787.13</v>
      </c>
      <c r="T36" s="16">
        <v>2061.6000000000004</v>
      </c>
      <c r="U36" s="16">
        <v>2205.7200000000003</v>
      </c>
      <c r="V36" s="16">
        <v>2329.09</v>
      </c>
      <c r="W36" s="16">
        <v>1403.15</v>
      </c>
      <c r="X36" s="16">
        <v>1677.6200000000001</v>
      </c>
      <c r="Y36" s="16">
        <v>1821.74</v>
      </c>
      <c r="Z36" s="16">
        <v>1945.11</v>
      </c>
    </row>
    <row r="37" spans="1:26" ht="24">
      <c r="A37" s="14" t="s">
        <v>8</v>
      </c>
      <c r="B37" s="15" t="s">
        <v>7</v>
      </c>
      <c r="C37" s="16">
        <v>1977.71</v>
      </c>
      <c r="D37" s="16">
        <v>2252.1799999999998</v>
      </c>
      <c r="E37" s="16">
        <v>2396.3000000000002</v>
      </c>
      <c r="F37" s="16">
        <v>2519.67</v>
      </c>
      <c r="G37" s="16">
        <v>2483.29</v>
      </c>
      <c r="H37" s="16">
        <v>2757.76</v>
      </c>
      <c r="I37" s="16">
        <v>2901.88</v>
      </c>
      <c r="J37" s="16">
        <v>3025.25</v>
      </c>
      <c r="K37" s="16">
        <v>2138.42</v>
      </c>
      <c r="L37" s="16">
        <v>2412.89</v>
      </c>
      <c r="M37" s="16">
        <v>2557.0099999999998</v>
      </c>
      <c r="N37" s="16">
        <v>2680.38</v>
      </c>
      <c r="O37" s="16">
        <v>2134.37</v>
      </c>
      <c r="P37" s="16">
        <v>2408.84</v>
      </c>
      <c r="Q37" s="16">
        <v>2552.96</v>
      </c>
      <c r="R37" s="16">
        <v>2676.33</v>
      </c>
      <c r="S37" s="16">
        <v>1772.72</v>
      </c>
      <c r="T37" s="16">
        <v>2047.19</v>
      </c>
      <c r="U37" s="16">
        <v>2191.31</v>
      </c>
      <c r="V37" s="16">
        <v>2314.6799999999998</v>
      </c>
      <c r="W37" s="16">
        <v>1392.47</v>
      </c>
      <c r="X37" s="16">
        <v>1666.9400000000003</v>
      </c>
      <c r="Y37" s="16">
        <v>1811.0600000000002</v>
      </c>
      <c r="Z37" s="16">
        <v>1934.43</v>
      </c>
    </row>
    <row r="38" spans="1:26" ht="24">
      <c r="A38" s="14" t="s">
        <v>9</v>
      </c>
      <c r="B38" s="15" t="s">
        <v>7</v>
      </c>
      <c r="C38" s="16">
        <v>1880.1799999999998</v>
      </c>
      <c r="D38" s="16">
        <v>2154.6499999999996</v>
      </c>
      <c r="E38" s="16">
        <v>2298.77</v>
      </c>
      <c r="F38" s="16">
        <v>2422.14</v>
      </c>
      <c r="G38" s="16">
        <v>2356.3599999999997</v>
      </c>
      <c r="H38" s="16">
        <v>2630.8300000000004</v>
      </c>
      <c r="I38" s="16">
        <v>2774.9500000000003</v>
      </c>
      <c r="J38" s="16">
        <v>2898.32</v>
      </c>
      <c r="K38" s="16">
        <v>2031.54</v>
      </c>
      <c r="L38" s="16">
        <v>2306.0100000000002</v>
      </c>
      <c r="M38" s="16">
        <v>2450.13</v>
      </c>
      <c r="N38" s="16">
        <v>2573.5000000000005</v>
      </c>
      <c r="O38" s="16">
        <v>2027.6999999999998</v>
      </c>
      <c r="P38" s="16">
        <v>2302.17</v>
      </c>
      <c r="Q38" s="16">
        <v>2446.29</v>
      </c>
      <c r="R38" s="16">
        <v>2569.66</v>
      </c>
      <c r="S38" s="16">
        <v>1687.0900000000001</v>
      </c>
      <c r="T38" s="16">
        <v>1961.5600000000002</v>
      </c>
      <c r="U38" s="16">
        <v>2105.6800000000003</v>
      </c>
      <c r="V38" s="16">
        <v>2229.0500000000002</v>
      </c>
      <c r="W38" s="16">
        <v>1329.0100000000002</v>
      </c>
      <c r="X38" s="16">
        <v>1603.4800000000002</v>
      </c>
      <c r="Y38" s="16">
        <v>1747.6000000000001</v>
      </c>
      <c r="Z38" s="16">
        <v>1870.97</v>
      </c>
    </row>
    <row r="39" spans="1:26" ht="24">
      <c r="A39" s="14" t="s">
        <v>10</v>
      </c>
      <c r="B39" s="15" t="s">
        <v>7</v>
      </c>
      <c r="C39" s="16">
        <v>1801.47</v>
      </c>
      <c r="D39" s="16">
        <v>2075.9399999999996</v>
      </c>
      <c r="E39" s="16">
        <v>2220.06</v>
      </c>
      <c r="F39" s="16">
        <v>2343.4299999999998</v>
      </c>
      <c r="G39" s="16">
        <v>2253.91</v>
      </c>
      <c r="H39" s="16">
        <v>2528.38</v>
      </c>
      <c r="I39" s="16">
        <v>2672.5</v>
      </c>
      <c r="J39" s="16">
        <v>2795.87</v>
      </c>
      <c r="K39" s="16">
        <v>1945.2700000000002</v>
      </c>
      <c r="L39" s="16">
        <v>2219.7400000000002</v>
      </c>
      <c r="M39" s="16">
        <v>2363.86</v>
      </c>
      <c r="N39" s="16">
        <v>2487.2300000000005</v>
      </c>
      <c r="O39" s="16">
        <v>1941.6</v>
      </c>
      <c r="P39" s="16">
        <v>2216.0700000000002</v>
      </c>
      <c r="Q39" s="16">
        <v>2360.19</v>
      </c>
      <c r="R39" s="16">
        <v>2483.56</v>
      </c>
      <c r="S39" s="16">
        <v>1617.9799999999998</v>
      </c>
      <c r="T39" s="16">
        <v>1892.45</v>
      </c>
      <c r="U39" s="16">
        <v>2036.57</v>
      </c>
      <c r="V39" s="16">
        <v>2159.94</v>
      </c>
      <c r="W39" s="16">
        <v>1277.78</v>
      </c>
      <c r="X39" s="16">
        <v>1552.2500000000002</v>
      </c>
      <c r="Y39" s="16">
        <v>1696.3700000000001</v>
      </c>
      <c r="Z39" s="16">
        <v>1819.74</v>
      </c>
    </row>
    <row r="40" spans="1:26">
      <c r="A40" s="788" t="s">
        <v>27</v>
      </c>
      <c r="B40" s="790"/>
      <c r="C40" s="793" t="s">
        <v>17</v>
      </c>
      <c r="D40" s="793"/>
      <c r="E40" s="793"/>
      <c r="F40" s="793"/>
      <c r="G40" s="793" t="s">
        <v>18</v>
      </c>
      <c r="H40" s="793"/>
      <c r="I40" s="793"/>
      <c r="J40" s="793"/>
      <c r="K40" s="793" t="s">
        <v>19</v>
      </c>
      <c r="L40" s="793"/>
      <c r="M40" s="793"/>
      <c r="N40" s="793"/>
      <c r="O40" s="793" t="s">
        <v>20</v>
      </c>
      <c r="P40" s="793"/>
      <c r="Q40" s="793"/>
      <c r="R40" s="793"/>
      <c r="S40" s="796" t="s">
        <v>21</v>
      </c>
      <c r="T40" s="796"/>
      <c r="U40" s="796"/>
      <c r="V40" s="796"/>
      <c r="W40" s="796" t="s">
        <v>22</v>
      </c>
      <c r="X40" s="796"/>
      <c r="Y40" s="796"/>
      <c r="Z40" s="796"/>
    </row>
    <row r="41" spans="1:26">
      <c r="A41" s="791"/>
      <c r="B41" s="792"/>
      <c r="C41" s="650" t="s">
        <v>2</v>
      </c>
      <c r="D41" s="650" t="s">
        <v>3</v>
      </c>
      <c r="E41" s="650" t="s">
        <v>4</v>
      </c>
      <c r="F41" s="650" t="s">
        <v>5</v>
      </c>
      <c r="G41" s="650" t="s">
        <v>2</v>
      </c>
      <c r="H41" s="650" t="s">
        <v>3</v>
      </c>
      <c r="I41" s="650" t="s">
        <v>4</v>
      </c>
      <c r="J41" s="650" t="s">
        <v>5</v>
      </c>
      <c r="K41" s="12" t="s">
        <v>2</v>
      </c>
      <c r="L41" s="12" t="s">
        <v>3</v>
      </c>
      <c r="M41" s="12" t="s">
        <v>4</v>
      </c>
      <c r="N41" s="12" t="s">
        <v>5</v>
      </c>
      <c r="O41" s="13" t="s">
        <v>2</v>
      </c>
      <c r="P41" s="13" t="s">
        <v>3</v>
      </c>
      <c r="Q41" s="13" t="s">
        <v>4</v>
      </c>
      <c r="R41" s="13" t="s">
        <v>5</v>
      </c>
      <c r="S41" s="12" t="s">
        <v>2</v>
      </c>
      <c r="T41" s="12" t="s">
        <v>3</v>
      </c>
      <c r="U41" s="12" t="s">
        <v>4</v>
      </c>
      <c r="V41" s="12" t="s">
        <v>5</v>
      </c>
      <c r="W41" s="13" t="s">
        <v>2</v>
      </c>
      <c r="X41" s="13" t="s">
        <v>3</v>
      </c>
      <c r="Y41" s="13" t="s">
        <v>4</v>
      </c>
      <c r="Z41" s="13" t="s">
        <v>5</v>
      </c>
    </row>
    <row r="42" spans="1:26" ht="24">
      <c r="A42" s="14" t="s">
        <v>6</v>
      </c>
      <c r="B42" s="15" t="s">
        <v>7</v>
      </c>
      <c r="C42" s="16">
        <v>1558.59</v>
      </c>
      <c r="D42" s="16">
        <v>1882.47</v>
      </c>
      <c r="E42" s="16">
        <v>2052.5300000000002</v>
      </c>
      <c r="F42" s="16">
        <v>2198.1</v>
      </c>
      <c r="G42" s="16">
        <v>1695.15</v>
      </c>
      <c r="H42" s="16">
        <v>2019.0300000000002</v>
      </c>
      <c r="I42" s="16">
        <v>2189.09</v>
      </c>
      <c r="J42" s="16">
        <v>2334.6600000000003</v>
      </c>
      <c r="K42" s="16">
        <v>1827.5900000000001</v>
      </c>
      <c r="L42" s="16">
        <v>2151.4699999999998</v>
      </c>
      <c r="M42" s="16">
        <v>2321.5299999999997</v>
      </c>
      <c r="N42" s="16">
        <v>2467.1</v>
      </c>
      <c r="O42" s="16">
        <v>1919.83</v>
      </c>
      <c r="P42" s="16">
        <v>2243.71</v>
      </c>
      <c r="Q42" s="16">
        <v>2413.77</v>
      </c>
      <c r="R42" s="16">
        <v>2559.3399999999997</v>
      </c>
      <c r="S42" s="16">
        <v>2021.3435999999999</v>
      </c>
      <c r="T42" s="16">
        <v>2295.8136</v>
      </c>
      <c r="U42" s="16">
        <v>2439.9335999999998</v>
      </c>
      <c r="V42" s="16">
        <v>2563.3036000000002</v>
      </c>
      <c r="W42" s="16">
        <v>2109.5299999999997</v>
      </c>
      <c r="X42" s="16">
        <v>2384</v>
      </c>
      <c r="Y42" s="16">
        <v>2528.12</v>
      </c>
      <c r="Z42" s="16">
        <v>2651.49</v>
      </c>
    </row>
    <row r="43" spans="1:26" ht="24">
      <c r="A43" s="14" t="s">
        <v>8</v>
      </c>
      <c r="B43" s="15" t="s">
        <v>7</v>
      </c>
      <c r="C43" s="16">
        <v>1555.22</v>
      </c>
      <c r="D43" s="16">
        <v>1879.1000000000001</v>
      </c>
      <c r="E43" s="16">
        <v>2049.1600000000003</v>
      </c>
      <c r="F43" s="16">
        <v>2194.73</v>
      </c>
      <c r="G43" s="16">
        <v>1691.4</v>
      </c>
      <c r="H43" s="16">
        <v>2015.2800000000002</v>
      </c>
      <c r="I43" s="16">
        <v>2185.34</v>
      </c>
      <c r="J43" s="16">
        <v>2330.9100000000003</v>
      </c>
      <c r="K43" s="16">
        <v>1823.47</v>
      </c>
      <c r="L43" s="16">
        <v>2147.35</v>
      </c>
      <c r="M43" s="16">
        <v>2317.41</v>
      </c>
      <c r="N43" s="16">
        <v>2462.98</v>
      </c>
      <c r="O43" s="16">
        <v>1915.44</v>
      </c>
      <c r="P43" s="16">
        <v>2239.3199999999997</v>
      </c>
      <c r="Q43" s="16">
        <v>2409.3799999999997</v>
      </c>
      <c r="R43" s="16">
        <v>2554.9499999999994</v>
      </c>
      <c r="S43" s="16">
        <v>2004.6810599999999</v>
      </c>
      <c r="T43" s="16">
        <v>2279.1510600000001</v>
      </c>
      <c r="U43" s="16">
        <v>2423.27106</v>
      </c>
      <c r="V43" s="16">
        <v>2546.6410599999999</v>
      </c>
      <c r="W43" s="16">
        <v>2092.0699999999997</v>
      </c>
      <c r="X43" s="16">
        <v>2366.54</v>
      </c>
      <c r="Y43" s="16">
        <v>2510.66</v>
      </c>
      <c r="Z43" s="16">
        <v>2634.0299999999997</v>
      </c>
    </row>
    <row r="44" spans="1:26" ht="24">
      <c r="A44" s="14" t="s">
        <v>9</v>
      </c>
      <c r="B44" s="15" t="s">
        <v>7</v>
      </c>
      <c r="C44" s="16">
        <v>1535.3600000000001</v>
      </c>
      <c r="D44" s="16">
        <v>1859.24</v>
      </c>
      <c r="E44" s="16">
        <v>2029.3000000000002</v>
      </c>
      <c r="F44" s="16">
        <v>2174.87</v>
      </c>
      <c r="G44" s="16">
        <v>1669.2900000000002</v>
      </c>
      <c r="H44" s="16">
        <v>1993.1700000000003</v>
      </c>
      <c r="I44" s="16">
        <v>2163.23</v>
      </c>
      <c r="J44" s="16">
        <v>2308.8000000000002</v>
      </c>
      <c r="K44" s="16">
        <v>1799.17</v>
      </c>
      <c r="L44" s="16">
        <v>2123.0500000000002</v>
      </c>
      <c r="M44" s="16">
        <v>2293.11</v>
      </c>
      <c r="N44" s="16">
        <v>2438.6800000000003</v>
      </c>
      <c r="O44" s="16">
        <v>1889.63</v>
      </c>
      <c r="P44" s="16">
        <v>2213.5099999999998</v>
      </c>
      <c r="Q44" s="16">
        <v>2383.5699999999997</v>
      </c>
      <c r="R44" s="16">
        <v>2529.1399999999994</v>
      </c>
      <c r="S44" s="16">
        <v>1905.6291100000001</v>
      </c>
      <c r="T44" s="16">
        <v>2180.0991100000001</v>
      </c>
      <c r="U44" s="16">
        <v>2324.21911</v>
      </c>
      <c r="V44" s="16">
        <v>2447.5891099999999</v>
      </c>
      <c r="W44" s="16">
        <v>1987.9</v>
      </c>
      <c r="X44" s="16">
        <v>2262.37</v>
      </c>
      <c r="Y44" s="16">
        <v>2406.4899999999998</v>
      </c>
      <c r="Z44" s="16">
        <v>2529.8599999999997</v>
      </c>
    </row>
    <row r="45" spans="1:26" ht="24">
      <c r="A45" s="14" t="s">
        <v>10</v>
      </c>
      <c r="B45" s="15" t="s">
        <v>7</v>
      </c>
      <c r="C45" s="16">
        <v>1519.2800000000002</v>
      </c>
      <c r="D45" s="16">
        <v>1843.16</v>
      </c>
      <c r="E45" s="16">
        <v>2013.2200000000003</v>
      </c>
      <c r="F45" s="16">
        <v>2158.79</v>
      </c>
      <c r="G45" s="16">
        <v>1651.38</v>
      </c>
      <c r="H45" s="16">
        <v>1975.2600000000002</v>
      </c>
      <c r="I45" s="16">
        <v>2145.3200000000002</v>
      </c>
      <c r="J45" s="16">
        <v>2290.8900000000003</v>
      </c>
      <c r="K45" s="16">
        <v>1779.5</v>
      </c>
      <c r="L45" s="16">
        <v>2103.38</v>
      </c>
      <c r="M45" s="16">
        <v>2273.44</v>
      </c>
      <c r="N45" s="16">
        <v>2419.0100000000002</v>
      </c>
      <c r="O45" s="16">
        <v>1868.72</v>
      </c>
      <c r="P45" s="16">
        <v>2192.6</v>
      </c>
      <c r="Q45" s="16">
        <v>2362.66</v>
      </c>
      <c r="R45" s="16">
        <v>2508.2299999999996</v>
      </c>
      <c r="S45" s="16">
        <v>1825.6875500000001</v>
      </c>
      <c r="T45" s="16">
        <v>2100.1575499999999</v>
      </c>
      <c r="U45" s="16">
        <v>2244.2775499999998</v>
      </c>
      <c r="V45" s="16">
        <v>2367.6475500000001</v>
      </c>
      <c r="W45" s="16">
        <v>1903.8999999999999</v>
      </c>
      <c r="X45" s="16">
        <v>2178.37</v>
      </c>
      <c r="Y45" s="16">
        <v>2322.4899999999998</v>
      </c>
      <c r="Z45" s="16">
        <v>2445.8599999999997</v>
      </c>
    </row>
    <row r="46" spans="1:26" ht="18.75" customHeight="1"/>
    <row r="47" spans="1:26" ht="15.75" hidden="1">
      <c r="A47" s="773" t="s">
        <v>29</v>
      </c>
      <c r="B47" s="774"/>
      <c r="C47" s="774"/>
      <c r="D47" s="774"/>
      <c r="E47" s="774"/>
      <c r="F47" s="774"/>
      <c r="G47" s="774"/>
      <c r="H47" s="774"/>
      <c r="I47" s="774"/>
      <c r="J47" s="774"/>
      <c r="K47" s="774"/>
      <c r="L47" s="774"/>
      <c r="M47" s="774"/>
      <c r="N47" s="774"/>
      <c r="O47" s="774"/>
      <c r="P47" s="774"/>
      <c r="Q47" s="774"/>
      <c r="R47" s="774"/>
      <c r="S47" s="774"/>
      <c r="T47" s="774"/>
      <c r="U47" s="774"/>
      <c r="V47" s="774"/>
      <c r="W47" s="774"/>
      <c r="X47" s="774"/>
      <c r="Y47" s="774"/>
      <c r="Z47" s="774"/>
    </row>
    <row r="48" spans="1:26" hidden="1">
      <c r="A48" s="788" t="s">
        <v>26</v>
      </c>
      <c r="B48" s="790"/>
      <c r="C48" s="793" t="s">
        <v>11</v>
      </c>
      <c r="D48" s="793"/>
      <c r="E48" s="793"/>
      <c r="F48" s="793"/>
      <c r="G48" s="793" t="s">
        <v>12</v>
      </c>
      <c r="H48" s="793"/>
      <c r="I48" s="793"/>
      <c r="J48" s="793"/>
      <c r="K48" s="788" t="s">
        <v>13</v>
      </c>
      <c r="L48" s="789"/>
      <c r="M48" s="789"/>
      <c r="N48" s="790"/>
      <c r="O48" s="788" t="s">
        <v>14</v>
      </c>
      <c r="P48" s="789"/>
      <c r="Q48" s="789"/>
      <c r="R48" s="790"/>
      <c r="S48" s="788" t="s">
        <v>15</v>
      </c>
      <c r="T48" s="789"/>
      <c r="U48" s="789"/>
      <c r="V48" s="790"/>
      <c r="W48" s="788" t="s">
        <v>16</v>
      </c>
      <c r="X48" s="789"/>
      <c r="Y48" s="789"/>
      <c r="Z48" s="790"/>
    </row>
    <row r="49" spans="1:26" hidden="1">
      <c r="A49" s="791"/>
      <c r="B49" s="792"/>
      <c r="C49" s="650" t="s">
        <v>2</v>
      </c>
      <c r="D49" s="650" t="s">
        <v>3</v>
      </c>
      <c r="E49" s="650" t="s">
        <v>4</v>
      </c>
      <c r="F49" s="650" t="s">
        <v>5</v>
      </c>
      <c r="G49" s="650" t="s">
        <v>2</v>
      </c>
      <c r="H49" s="650" t="s">
        <v>3</v>
      </c>
      <c r="I49" s="650" t="s">
        <v>4</v>
      </c>
      <c r="J49" s="650" t="s">
        <v>5</v>
      </c>
      <c r="K49" s="12" t="s">
        <v>2</v>
      </c>
      <c r="L49" s="12" t="s">
        <v>3</v>
      </c>
      <c r="M49" s="12" t="s">
        <v>4</v>
      </c>
      <c r="N49" s="12" t="s">
        <v>5</v>
      </c>
      <c r="O49" s="13" t="s">
        <v>2</v>
      </c>
      <c r="P49" s="13" t="s">
        <v>3</v>
      </c>
      <c r="Q49" s="13" t="s">
        <v>4</v>
      </c>
      <c r="R49" s="13" t="s">
        <v>5</v>
      </c>
      <c r="S49" s="12" t="s">
        <v>2</v>
      </c>
      <c r="T49" s="12" t="s">
        <v>3</v>
      </c>
      <c r="U49" s="12" t="s">
        <v>4</v>
      </c>
      <c r="V49" s="12" t="s">
        <v>5</v>
      </c>
      <c r="W49" s="13" t="s">
        <v>2</v>
      </c>
      <c r="X49" s="13" t="s">
        <v>3</v>
      </c>
      <c r="Y49" s="13" t="s">
        <v>4</v>
      </c>
      <c r="Z49" s="13" t="s">
        <v>5</v>
      </c>
    </row>
    <row r="50" spans="1:26" ht="24" hidden="1">
      <c r="A50" s="14" t="s">
        <v>6</v>
      </c>
      <c r="B50" s="15" t="s">
        <v>7</v>
      </c>
      <c r="C50" s="17">
        <f>C36*1.105</f>
        <v>2203.5025999999998</v>
      </c>
      <c r="D50" s="17">
        <f t="shared" ref="D50:Z53" si="0">D36*1.105</f>
        <v>2506.7919499999998</v>
      </c>
      <c r="E50" s="17">
        <f t="shared" si="0"/>
        <v>2666.0445500000001</v>
      </c>
      <c r="F50" s="17">
        <f t="shared" si="0"/>
        <v>2802.3683999999998</v>
      </c>
      <c r="G50" s="17">
        <f t="shared" si="0"/>
        <v>2767.63825</v>
      </c>
      <c r="H50" s="17">
        <f t="shared" si="0"/>
        <v>3070.9276000000004</v>
      </c>
      <c r="I50" s="17">
        <f t="shared" si="0"/>
        <v>3230.1802000000002</v>
      </c>
      <c r="J50" s="17">
        <f t="shared" si="0"/>
        <v>3366.50405</v>
      </c>
      <c r="K50" s="17">
        <f t="shared" si="0"/>
        <v>2382.8330499999997</v>
      </c>
      <c r="L50" s="17">
        <f t="shared" si="0"/>
        <v>2686.1224000000002</v>
      </c>
      <c r="M50" s="17">
        <f t="shared" si="0"/>
        <v>2845.375</v>
      </c>
      <c r="N50" s="17">
        <f t="shared" si="0"/>
        <v>2981.6988500000002</v>
      </c>
      <c r="O50" s="17">
        <f t="shared" si="0"/>
        <v>2378.32465</v>
      </c>
      <c r="P50" s="17">
        <f t="shared" si="0"/>
        <v>2681.614</v>
      </c>
      <c r="Q50" s="17">
        <f t="shared" si="0"/>
        <v>2840.8665999999998</v>
      </c>
      <c r="R50" s="17">
        <f t="shared" si="0"/>
        <v>2977.1904500000001</v>
      </c>
      <c r="S50" s="17">
        <f t="shared" si="0"/>
        <v>1974.7786500000002</v>
      </c>
      <c r="T50" s="17">
        <f t="shared" si="0"/>
        <v>2278.0680000000002</v>
      </c>
      <c r="U50" s="17">
        <f t="shared" si="0"/>
        <v>2437.3206000000005</v>
      </c>
      <c r="V50" s="17">
        <f t="shared" si="0"/>
        <v>2573.6444500000002</v>
      </c>
      <c r="W50" s="17">
        <f t="shared" si="0"/>
        <v>1550.4807500000002</v>
      </c>
      <c r="X50" s="17">
        <f t="shared" si="0"/>
        <v>1853.7701000000002</v>
      </c>
      <c r="Y50" s="17">
        <f t="shared" si="0"/>
        <v>2013.0227</v>
      </c>
      <c r="Z50" s="17">
        <f t="shared" si="0"/>
        <v>2149.3465499999998</v>
      </c>
    </row>
    <row r="51" spans="1:26" ht="24" hidden="1">
      <c r="A51" s="14" t="s">
        <v>8</v>
      </c>
      <c r="B51" s="15" t="s">
        <v>7</v>
      </c>
      <c r="C51" s="17">
        <f>C37*1.105</f>
        <v>2185.3695499999999</v>
      </c>
      <c r="D51" s="17">
        <f t="shared" si="0"/>
        <v>2488.6588999999999</v>
      </c>
      <c r="E51" s="17">
        <f t="shared" si="0"/>
        <v>2647.9115000000002</v>
      </c>
      <c r="F51" s="17">
        <f t="shared" si="0"/>
        <v>2784.2353499999999</v>
      </c>
      <c r="G51" s="17">
        <f t="shared" si="0"/>
        <v>2744.0354499999999</v>
      </c>
      <c r="H51" s="17">
        <f t="shared" si="0"/>
        <v>3047.3248000000003</v>
      </c>
      <c r="I51" s="17">
        <f t="shared" si="0"/>
        <v>3206.5774000000001</v>
      </c>
      <c r="J51" s="17">
        <f t="shared" si="0"/>
        <v>3342.9012499999999</v>
      </c>
      <c r="K51" s="17">
        <f t="shared" si="0"/>
        <v>2362.9540999999999</v>
      </c>
      <c r="L51" s="17">
        <f t="shared" si="0"/>
        <v>2666.2434499999999</v>
      </c>
      <c r="M51" s="17">
        <f t="shared" si="0"/>
        <v>2825.4960499999997</v>
      </c>
      <c r="N51" s="17">
        <f t="shared" si="0"/>
        <v>2961.8199</v>
      </c>
      <c r="O51" s="17">
        <f t="shared" si="0"/>
        <v>2358.47885</v>
      </c>
      <c r="P51" s="17">
        <f t="shared" si="0"/>
        <v>2661.7682</v>
      </c>
      <c r="Q51" s="17">
        <f t="shared" si="0"/>
        <v>2821.0207999999998</v>
      </c>
      <c r="R51" s="17">
        <f t="shared" si="0"/>
        <v>2957.34465</v>
      </c>
      <c r="S51" s="17">
        <f t="shared" si="0"/>
        <v>1958.8556000000001</v>
      </c>
      <c r="T51" s="17">
        <f t="shared" si="0"/>
        <v>2262.1449499999999</v>
      </c>
      <c r="U51" s="17">
        <f t="shared" si="0"/>
        <v>2421.3975499999997</v>
      </c>
      <c r="V51" s="17">
        <f t="shared" si="0"/>
        <v>2557.7213999999999</v>
      </c>
      <c r="W51" s="17">
        <f t="shared" si="0"/>
        <v>1538.6793500000001</v>
      </c>
      <c r="X51" s="17">
        <f t="shared" si="0"/>
        <v>1841.9687000000004</v>
      </c>
      <c r="Y51" s="17">
        <f t="shared" si="0"/>
        <v>2001.2213000000002</v>
      </c>
      <c r="Z51" s="17">
        <f t="shared" si="0"/>
        <v>2137.5451499999999</v>
      </c>
    </row>
    <row r="52" spans="1:26" ht="24" hidden="1">
      <c r="A52" s="14" t="s">
        <v>9</v>
      </c>
      <c r="B52" s="15" t="s">
        <v>7</v>
      </c>
      <c r="C52" s="17">
        <f>C38*1.105</f>
        <v>2077.5989</v>
      </c>
      <c r="D52" s="17">
        <f t="shared" si="0"/>
        <v>2380.8882499999995</v>
      </c>
      <c r="E52" s="17">
        <f t="shared" si="0"/>
        <v>2540.1408499999998</v>
      </c>
      <c r="F52" s="17">
        <f t="shared" si="0"/>
        <v>2676.4647</v>
      </c>
      <c r="G52" s="17">
        <f t="shared" si="0"/>
        <v>2603.7777999999994</v>
      </c>
      <c r="H52" s="17">
        <f t="shared" si="0"/>
        <v>2907.0671500000003</v>
      </c>
      <c r="I52" s="17">
        <f t="shared" si="0"/>
        <v>3066.3197500000001</v>
      </c>
      <c r="J52" s="17">
        <f t="shared" si="0"/>
        <v>3202.6436000000003</v>
      </c>
      <c r="K52" s="17">
        <f t="shared" si="0"/>
        <v>2244.8516999999997</v>
      </c>
      <c r="L52" s="17">
        <f t="shared" si="0"/>
        <v>2548.1410500000002</v>
      </c>
      <c r="M52" s="17">
        <f t="shared" si="0"/>
        <v>2707.39365</v>
      </c>
      <c r="N52" s="17">
        <f t="shared" si="0"/>
        <v>2843.7175000000007</v>
      </c>
      <c r="O52" s="17">
        <f t="shared" si="0"/>
        <v>2240.6084999999998</v>
      </c>
      <c r="P52" s="17">
        <f t="shared" si="0"/>
        <v>2543.8978499999998</v>
      </c>
      <c r="Q52" s="17">
        <f t="shared" si="0"/>
        <v>2703.1504500000001</v>
      </c>
      <c r="R52" s="17">
        <f t="shared" si="0"/>
        <v>2839.4742999999999</v>
      </c>
      <c r="S52" s="17">
        <f t="shared" si="0"/>
        <v>1864.2344500000002</v>
      </c>
      <c r="T52" s="17">
        <f t="shared" si="0"/>
        <v>2167.5237999999999</v>
      </c>
      <c r="U52" s="17">
        <f t="shared" si="0"/>
        <v>2326.7764000000002</v>
      </c>
      <c r="V52" s="17">
        <f t="shared" si="0"/>
        <v>2463.10025</v>
      </c>
      <c r="W52" s="17">
        <f t="shared" si="0"/>
        <v>1468.5560500000001</v>
      </c>
      <c r="X52" s="17">
        <f t="shared" si="0"/>
        <v>1771.8454000000002</v>
      </c>
      <c r="Y52" s="17">
        <f t="shared" si="0"/>
        <v>1931.0980000000002</v>
      </c>
      <c r="Z52" s="17">
        <f t="shared" si="0"/>
        <v>2067.4218500000002</v>
      </c>
    </row>
    <row r="53" spans="1:26" ht="24" hidden="1">
      <c r="A53" s="14" t="s">
        <v>10</v>
      </c>
      <c r="B53" s="15" t="s">
        <v>7</v>
      </c>
      <c r="C53" s="17">
        <f>C39*1.105</f>
        <v>1990.62435</v>
      </c>
      <c r="D53" s="17">
        <f t="shared" si="0"/>
        <v>2293.9136999999996</v>
      </c>
      <c r="E53" s="17">
        <f t="shared" si="0"/>
        <v>2453.1662999999999</v>
      </c>
      <c r="F53" s="17">
        <f t="shared" si="0"/>
        <v>2589.4901499999996</v>
      </c>
      <c r="G53" s="17">
        <f t="shared" si="0"/>
        <v>2490.5705499999999</v>
      </c>
      <c r="H53" s="17">
        <f t="shared" si="0"/>
        <v>2793.8598999999999</v>
      </c>
      <c r="I53" s="17">
        <f t="shared" si="0"/>
        <v>2953.1124999999997</v>
      </c>
      <c r="J53" s="17">
        <f t="shared" si="0"/>
        <v>3089.4363499999999</v>
      </c>
      <c r="K53" s="17">
        <f t="shared" si="0"/>
        <v>2149.5233500000004</v>
      </c>
      <c r="L53" s="17">
        <f t="shared" si="0"/>
        <v>2452.8127000000004</v>
      </c>
      <c r="M53" s="17">
        <f t="shared" si="0"/>
        <v>2612.0653000000002</v>
      </c>
      <c r="N53" s="17">
        <f t="shared" si="0"/>
        <v>2748.3891500000004</v>
      </c>
      <c r="O53" s="17">
        <f t="shared" si="0"/>
        <v>2145.4679999999998</v>
      </c>
      <c r="P53" s="17">
        <f t="shared" si="0"/>
        <v>2448.7573500000003</v>
      </c>
      <c r="Q53" s="17">
        <f t="shared" si="0"/>
        <v>2608.0099500000001</v>
      </c>
      <c r="R53" s="17">
        <f t="shared" si="0"/>
        <v>2744.3337999999999</v>
      </c>
      <c r="S53" s="17">
        <f t="shared" si="0"/>
        <v>1787.8678999999997</v>
      </c>
      <c r="T53" s="17">
        <f t="shared" si="0"/>
        <v>2091.1572500000002</v>
      </c>
      <c r="U53" s="17">
        <f t="shared" si="0"/>
        <v>2250.40985</v>
      </c>
      <c r="V53" s="17">
        <f t="shared" si="0"/>
        <v>2386.7337000000002</v>
      </c>
      <c r="W53" s="17">
        <f t="shared" si="0"/>
        <v>1411.9468999999999</v>
      </c>
      <c r="X53" s="17">
        <f t="shared" si="0"/>
        <v>1715.2362500000002</v>
      </c>
      <c r="Y53" s="17">
        <f t="shared" si="0"/>
        <v>1874.4888500000002</v>
      </c>
      <c r="Z53" s="17">
        <f t="shared" si="0"/>
        <v>2010.8126999999999</v>
      </c>
    </row>
    <row r="54" spans="1:26" hidden="1">
      <c r="A54" s="788" t="s">
        <v>27</v>
      </c>
      <c r="B54" s="790"/>
      <c r="C54" s="793" t="s">
        <v>17</v>
      </c>
      <c r="D54" s="793"/>
      <c r="E54" s="793"/>
      <c r="F54" s="793"/>
      <c r="G54" s="793" t="s">
        <v>18</v>
      </c>
      <c r="H54" s="793"/>
      <c r="I54" s="793"/>
      <c r="J54" s="793"/>
      <c r="K54" s="793" t="s">
        <v>19</v>
      </c>
      <c r="L54" s="793"/>
      <c r="M54" s="793"/>
      <c r="N54" s="793"/>
      <c r="O54" s="793" t="s">
        <v>20</v>
      </c>
      <c r="P54" s="793"/>
      <c r="Q54" s="793"/>
      <c r="R54" s="793"/>
      <c r="S54" s="793" t="s">
        <v>21</v>
      </c>
      <c r="T54" s="793"/>
      <c r="U54" s="793"/>
      <c r="V54" s="793"/>
      <c r="W54" s="793" t="s">
        <v>22</v>
      </c>
      <c r="X54" s="793"/>
      <c r="Y54" s="793"/>
      <c r="Z54" s="793"/>
    </row>
    <row r="55" spans="1:26" hidden="1">
      <c r="A55" s="791"/>
      <c r="B55" s="792"/>
      <c r="C55" s="650" t="s">
        <v>2</v>
      </c>
      <c r="D55" s="650" t="s">
        <v>3</v>
      </c>
      <c r="E55" s="650" t="s">
        <v>4</v>
      </c>
      <c r="F55" s="650" t="s">
        <v>5</v>
      </c>
      <c r="G55" s="650" t="s">
        <v>2</v>
      </c>
      <c r="H55" s="650" t="s">
        <v>3</v>
      </c>
      <c r="I55" s="650" t="s">
        <v>4</v>
      </c>
      <c r="J55" s="650" t="s">
        <v>5</v>
      </c>
      <c r="K55" s="12" t="s">
        <v>2</v>
      </c>
      <c r="L55" s="12" t="s">
        <v>3</v>
      </c>
      <c r="M55" s="12" t="s">
        <v>4</v>
      </c>
      <c r="N55" s="12" t="s">
        <v>5</v>
      </c>
      <c r="O55" s="13" t="s">
        <v>2</v>
      </c>
      <c r="P55" s="13" t="s">
        <v>3</v>
      </c>
      <c r="Q55" s="13" t="s">
        <v>4</v>
      </c>
      <c r="R55" s="13" t="s">
        <v>5</v>
      </c>
      <c r="S55" s="12" t="s">
        <v>2</v>
      </c>
      <c r="T55" s="12" t="s">
        <v>3</v>
      </c>
      <c r="U55" s="12" t="s">
        <v>4</v>
      </c>
      <c r="V55" s="12" t="s">
        <v>5</v>
      </c>
      <c r="W55" s="13" t="s">
        <v>2</v>
      </c>
      <c r="X55" s="13" t="s">
        <v>3</v>
      </c>
      <c r="Y55" s="13" t="s">
        <v>4</v>
      </c>
      <c r="Z55" s="13" t="s">
        <v>5</v>
      </c>
    </row>
    <row r="56" spans="1:26" ht="24" hidden="1">
      <c r="A56" s="14" t="s">
        <v>6</v>
      </c>
      <c r="B56" s="15" t="s">
        <v>7</v>
      </c>
      <c r="C56" s="17">
        <f>C42*1.105</f>
        <v>1722.2419499999999</v>
      </c>
      <c r="D56" s="17">
        <f t="shared" ref="D56:R56" si="1">D42*1.105</f>
        <v>2080.1293500000002</v>
      </c>
      <c r="E56" s="17">
        <f t="shared" si="1"/>
        <v>2268.04565</v>
      </c>
      <c r="F56" s="17">
        <f t="shared" si="1"/>
        <v>2428.9004999999997</v>
      </c>
      <c r="G56" s="17">
        <f t="shared" si="1"/>
        <v>1873.14075</v>
      </c>
      <c r="H56" s="17">
        <f t="shared" si="1"/>
        <v>2231.0281500000001</v>
      </c>
      <c r="I56" s="17">
        <f t="shared" si="1"/>
        <v>2418.94445</v>
      </c>
      <c r="J56" s="17">
        <f t="shared" si="1"/>
        <v>2579.7993000000001</v>
      </c>
      <c r="K56" s="17">
        <f t="shared" si="1"/>
        <v>2019.4869500000002</v>
      </c>
      <c r="L56" s="17">
        <f t="shared" si="1"/>
        <v>2377.3743499999996</v>
      </c>
      <c r="M56" s="17">
        <f t="shared" si="1"/>
        <v>2565.2906499999995</v>
      </c>
      <c r="N56" s="17">
        <f t="shared" si="1"/>
        <v>2726.1454999999996</v>
      </c>
      <c r="O56" s="17">
        <f t="shared" si="1"/>
        <v>2121.4121500000001</v>
      </c>
      <c r="P56" s="17">
        <f t="shared" si="1"/>
        <v>2479.2995500000002</v>
      </c>
      <c r="Q56" s="17">
        <f t="shared" si="1"/>
        <v>2667.21585</v>
      </c>
      <c r="R56" s="17">
        <f t="shared" si="1"/>
        <v>2828.0706999999998</v>
      </c>
      <c r="S56" s="17">
        <f>S42*1.115*1.105</f>
        <v>2490.4469159699997</v>
      </c>
      <c r="T56" s="17">
        <f t="shared" ref="T56:Z56" si="2">T42*1.115*1.105</f>
        <v>2828.6145412199999</v>
      </c>
      <c r="U56" s="17">
        <f t="shared" si="2"/>
        <v>3006.1811902199997</v>
      </c>
      <c r="V56" s="17">
        <f t="shared" si="2"/>
        <v>3158.1822829700004</v>
      </c>
      <c r="W56" s="17">
        <f t="shared" si="2"/>
        <v>2599.0991747499997</v>
      </c>
      <c r="X56" s="17">
        <f t="shared" si="2"/>
        <v>2937.2667999999999</v>
      </c>
      <c r="Y56" s="17">
        <f t="shared" si="2"/>
        <v>3114.8334489999997</v>
      </c>
      <c r="Z56" s="17">
        <f t="shared" si="2"/>
        <v>3266.83454175</v>
      </c>
    </row>
    <row r="57" spans="1:26" ht="24" hidden="1">
      <c r="A57" s="14" t="s">
        <v>8</v>
      </c>
      <c r="B57" s="15" t="s">
        <v>7</v>
      </c>
      <c r="C57" s="17">
        <f t="shared" ref="C57:R59" si="3">C43*1.105</f>
        <v>1718.5181</v>
      </c>
      <c r="D57" s="17">
        <f t="shared" si="3"/>
        <v>2076.4055000000003</v>
      </c>
      <c r="E57" s="17">
        <f t="shared" si="3"/>
        <v>2264.3218000000002</v>
      </c>
      <c r="F57" s="17">
        <f t="shared" si="3"/>
        <v>2425.1766499999999</v>
      </c>
      <c r="G57" s="17">
        <f t="shared" si="3"/>
        <v>1868.9970000000001</v>
      </c>
      <c r="H57" s="17">
        <f t="shared" si="3"/>
        <v>2226.8844000000004</v>
      </c>
      <c r="I57" s="17">
        <f t="shared" si="3"/>
        <v>2414.8007000000002</v>
      </c>
      <c r="J57" s="17">
        <f t="shared" si="3"/>
        <v>2575.6555500000004</v>
      </c>
      <c r="K57" s="17">
        <f t="shared" si="3"/>
        <v>2014.93435</v>
      </c>
      <c r="L57" s="17">
        <f t="shared" si="3"/>
        <v>2372.8217500000001</v>
      </c>
      <c r="M57" s="17">
        <f t="shared" si="3"/>
        <v>2560.7380499999999</v>
      </c>
      <c r="N57" s="17">
        <f t="shared" si="3"/>
        <v>2721.5929000000001</v>
      </c>
      <c r="O57" s="17">
        <f t="shared" si="3"/>
        <v>2116.5612000000001</v>
      </c>
      <c r="P57" s="17">
        <f t="shared" si="3"/>
        <v>2474.4485999999997</v>
      </c>
      <c r="Q57" s="17">
        <f t="shared" si="3"/>
        <v>2662.3648999999996</v>
      </c>
      <c r="R57" s="17">
        <f t="shared" si="3"/>
        <v>2823.2197499999993</v>
      </c>
      <c r="S57" s="17">
        <f t="shared" ref="S57:Z59" si="4">S43*1.115*1.105</f>
        <v>2469.9174169994999</v>
      </c>
      <c r="T57" s="17">
        <f t="shared" si="4"/>
        <v>2808.0850422495</v>
      </c>
      <c r="U57" s="17">
        <f t="shared" si="4"/>
        <v>2985.6516912494999</v>
      </c>
      <c r="V57" s="17">
        <f t="shared" si="4"/>
        <v>3137.6527839994997</v>
      </c>
      <c r="W57" s="17">
        <f t="shared" si="4"/>
        <v>2577.5871452499996</v>
      </c>
      <c r="X57" s="17">
        <f t="shared" si="4"/>
        <v>2915.7547704999997</v>
      </c>
      <c r="Y57" s="17">
        <f t="shared" si="4"/>
        <v>3093.3214194999996</v>
      </c>
      <c r="Z57" s="17">
        <f t="shared" si="4"/>
        <v>3245.3225122499998</v>
      </c>
    </row>
    <row r="58" spans="1:26" ht="24" hidden="1">
      <c r="A58" s="14" t="s">
        <v>9</v>
      </c>
      <c r="B58" s="15" t="s">
        <v>7</v>
      </c>
      <c r="C58" s="17">
        <f t="shared" si="3"/>
        <v>1696.5728000000001</v>
      </c>
      <c r="D58" s="17">
        <f t="shared" si="3"/>
        <v>2054.4602</v>
      </c>
      <c r="E58" s="17">
        <f t="shared" si="3"/>
        <v>2242.3765000000003</v>
      </c>
      <c r="F58" s="17">
        <f t="shared" si="3"/>
        <v>2403.23135</v>
      </c>
      <c r="G58" s="17">
        <f t="shared" si="3"/>
        <v>1844.5654500000003</v>
      </c>
      <c r="H58" s="17">
        <f t="shared" si="3"/>
        <v>2202.4528500000001</v>
      </c>
      <c r="I58" s="17">
        <f t="shared" si="3"/>
        <v>2390.36915</v>
      </c>
      <c r="J58" s="17">
        <f t="shared" si="3"/>
        <v>2551.2240000000002</v>
      </c>
      <c r="K58" s="17">
        <f t="shared" si="3"/>
        <v>1988.08285</v>
      </c>
      <c r="L58" s="17">
        <f t="shared" si="3"/>
        <v>2345.9702500000003</v>
      </c>
      <c r="M58" s="17">
        <f t="shared" si="3"/>
        <v>2533.8865500000002</v>
      </c>
      <c r="N58" s="17">
        <f t="shared" si="3"/>
        <v>2694.7414000000003</v>
      </c>
      <c r="O58" s="17">
        <f t="shared" si="3"/>
        <v>2088.04115</v>
      </c>
      <c r="P58" s="17">
        <f t="shared" si="3"/>
        <v>2445.9285499999996</v>
      </c>
      <c r="Q58" s="17">
        <f t="shared" si="3"/>
        <v>2633.8448499999995</v>
      </c>
      <c r="R58" s="17">
        <f t="shared" si="3"/>
        <v>2794.6996999999992</v>
      </c>
      <c r="S58" s="17">
        <f t="shared" si="4"/>
        <v>2347.87798570325</v>
      </c>
      <c r="T58" s="17">
        <f t="shared" si="4"/>
        <v>2686.0456109532502</v>
      </c>
      <c r="U58" s="17">
        <f t="shared" si="4"/>
        <v>2863.61225995325</v>
      </c>
      <c r="V58" s="17">
        <f t="shared" si="4"/>
        <v>3015.6133527032493</v>
      </c>
      <c r="W58" s="17">
        <f t="shared" si="4"/>
        <v>2449.2418924999997</v>
      </c>
      <c r="X58" s="17">
        <f t="shared" si="4"/>
        <v>2787.4095177499994</v>
      </c>
      <c r="Y58" s="17">
        <f t="shared" si="4"/>
        <v>2964.9761667499997</v>
      </c>
      <c r="Z58" s="17">
        <f t="shared" si="4"/>
        <v>3116.9772594999995</v>
      </c>
    </row>
    <row r="59" spans="1:26" ht="24" hidden="1">
      <c r="A59" s="14" t="s">
        <v>10</v>
      </c>
      <c r="B59" s="15" t="s">
        <v>7</v>
      </c>
      <c r="C59" s="17">
        <f t="shared" si="3"/>
        <v>1678.8044000000002</v>
      </c>
      <c r="D59" s="17">
        <f t="shared" si="3"/>
        <v>2036.6918000000001</v>
      </c>
      <c r="E59" s="17">
        <f t="shared" si="3"/>
        <v>2224.6081000000004</v>
      </c>
      <c r="F59" s="17">
        <f t="shared" si="3"/>
        <v>2385.4629500000001</v>
      </c>
      <c r="G59" s="17">
        <f t="shared" si="3"/>
        <v>1824.7749000000001</v>
      </c>
      <c r="H59" s="17">
        <f t="shared" si="3"/>
        <v>2182.6623000000004</v>
      </c>
      <c r="I59" s="17">
        <f t="shared" si="3"/>
        <v>2370.5786000000003</v>
      </c>
      <c r="J59" s="17">
        <f t="shared" si="3"/>
        <v>2531.4334500000004</v>
      </c>
      <c r="K59" s="17">
        <f t="shared" si="3"/>
        <v>1966.3475000000001</v>
      </c>
      <c r="L59" s="17">
        <f t="shared" si="3"/>
        <v>2324.2348999999999</v>
      </c>
      <c r="M59" s="17">
        <f t="shared" si="3"/>
        <v>2512.1512000000002</v>
      </c>
      <c r="N59" s="17">
        <f t="shared" si="3"/>
        <v>2673.0060500000004</v>
      </c>
      <c r="O59" s="17">
        <f t="shared" si="3"/>
        <v>2064.9355999999998</v>
      </c>
      <c r="P59" s="17">
        <f t="shared" si="3"/>
        <v>2422.8229999999999</v>
      </c>
      <c r="Q59" s="17">
        <f t="shared" si="3"/>
        <v>2610.7392999999997</v>
      </c>
      <c r="R59" s="17">
        <f t="shared" si="3"/>
        <v>2771.5941499999994</v>
      </c>
      <c r="S59" s="17">
        <f t="shared" si="4"/>
        <v>2249.3839881662502</v>
      </c>
      <c r="T59" s="17">
        <f t="shared" si="4"/>
        <v>2587.5516134162499</v>
      </c>
      <c r="U59" s="17">
        <f t="shared" si="4"/>
        <v>2765.1182624162498</v>
      </c>
      <c r="V59" s="17">
        <f t="shared" si="4"/>
        <v>2917.11935516625</v>
      </c>
      <c r="W59" s="17">
        <f t="shared" si="4"/>
        <v>2345.7475924999999</v>
      </c>
      <c r="X59" s="17">
        <f t="shared" si="4"/>
        <v>2683.9152177499996</v>
      </c>
      <c r="Y59" s="17">
        <f t="shared" si="4"/>
        <v>2861.4818667499999</v>
      </c>
      <c r="Z59" s="17">
        <f t="shared" si="4"/>
        <v>3013.4829594999997</v>
      </c>
    </row>
    <row r="60" spans="1:26" hidden="1"/>
    <row r="61" spans="1:26" hidden="1"/>
    <row r="62" spans="1:26" hidden="1"/>
    <row r="63" spans="1:26" hidden="1"/>
    <row r="64" spans="1:26" s="7" customFormat="1" ht="15.75">
      <c r="A64" s="7" t="s">
        <v>30</v>
      </c>
    </row>
  </sheetData>
  <mergeCells count="60">
    <mergeCell ref="A2:Z2"/>
    <mergeCell ref="A3:B4"/>
    <mergeCell ref="C3:F3"/>
    <mergeCell ref="G3:J3"/>
    <mergeCell ref="K3:N3"/>
    <mergeCell ref="O3:R3"/>
    <mergeCell ref="S3:V3"/>
    <mergeCell ref="W3:Z3"/>
    <mergeCell ref="W9:Z9"/>
    <mergeCell ref="A16:Z16"/>
    <mergeCell ref="A17:B18"/>
    <mergeCell ref="C17:F17"/>
    <mergeCell ref="G17:J17"/>
    <mergeCell ref="K17:N17"/>
    <mergeCell ref="O17:R17"/>
    <mergeCell ref="S17:V17"/>
    <mergeCell ref="W17:Z17"/>
    <mergeCell ref="A9:B10"/>
    <mergeCell ref="C9:F9"/>
    <mergeCell ref="G9:J9"/>
    <mergeCell ref="K9:N9"/>
    <mergeCell ref="O9:R9"/>
    <mergeCell ref="S9:V9"/>
    <mergeCell ref="W23:Z23"/>
    <mergeCell ref="A23:B24"/>
    <mergeCell ref="C23:F23"/>
    <mergeCell ref="G23:J23"/>
    <mergeCell ref="K23:N23"/>
    <mergeCell ref="O23:R23"/>
    <mergeCell ref="S23:V23"/>
    <mergeCell ref="A33:Z33"/>
    <mergeCell ref="A34:B35"/>
    <mergeCell ref="C34:F34"/>
    <mergeCell ref="G34:J34"/>
    <mergeCell ref="K34:N34"/>
    <mergeCell ref="O34:R34"/>
    <mergeCell ref="S34:V34"/>
    <mergeCell ref="W34:Z34"/>
    <mergeCell ref="S40:V40"/>
    <mergeCell ref="W40:Z40"/>
    <mergeCell ref="A47:Z47"/>
    <mergeCell ref="A48:B49"/>
    <mergeCell ref="C48:F48"/>
    <mergeCell ref="G48:J48"/>
    <mergeCell ref="K48:N48"/>
    <mergeCell ref="O48:R48"/>
    <mergeCell ref="S48:V48"/>
    <mergeCell ref="W48:Z48"/>
    <mergeCell ref="A40:B41"/>
    <mergeCell ref="C40:F40"/>
    <mergeCell ref="G40:J40"/>
    <mergeCell ref="K40:N40"/>
    <mergeCell ref="O40:R40"/>
    <mergeCell ref="S54:V54"/>
    <mergeCell ref="W54:Z54"/>
    <mergeCell ref="A54:B55"/>
    <mergeCell ref="C54:F54"/>
    <mergeCell ref="G54:J54"/>
    <mergeCell ref="K54:N54"/>
    <mergeCell ref="O54:R54"/>
  </mergeCells>
  <pageMargins left="0.19685039370078741" right="0.19685039370078741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3"/>
  <sheetViews>
    <sheetView zoomScale="80" zoomScaleNormal="80" workbookViewId="0">
      <selection activeCell="C44" sqref="C44"/>
    </sheetView>
  </sheetViews>
  <sheetFormatPr defaultRowHeight="12"/>
  <cols>
    <col min="1" max="1" width="11.140625" style="10" customWidth="1"/>
    <col min="2" max="2" width="10.140625" style="10" customWidth="1"/>
    <col min="3" max="26" width="11" style="10" bestFit="1" customWidth="1"/>
    <col min="27" max="16384" width="9.140625" style="10"/>
  </cols>
  <sheetData>
    <row r="2" spans="1:26" s="7" customFormat="1" ht="19.5" customHeight="1">
      <c r="A2" s="773" t="s">
        <v>31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26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6">
      <c r="A4" s="791"/>
      <c r="B4" s="792"/>
      <c r="C4" s="11" t="s">
        <v>2</v>
      </c>
      <c r="D4" s="11" t="s">
        <v>3</v>
      </c>
      <c r="E4" s="11" t="s">
        <v>4</v>
      </c>
      <c r="F4" s="11" t="s">
        <v>5</v>
      </c>
      <c r="G4" s="11" t="s">
        <v>2</v>
      </c>
      <c r="H4" s="11" t="s">
        <v>3</v>
      </c>
      <c r="I4" s="11" t="s">
        <v>4</v>
      </c>
      <c r="J4" s="11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6" ht="24">
      <c r="A5" s="14" t="s">
        <v>6</v>
      </c>
      <c r="B5" s="15" t="s">
        <v>7</v>
      </c>
      <c r="C5" s="16">
        <v>1994.12</v>
      </c>
      <c r="D5" s="16">
        <v>2268.5899999999997</v>
      </c>
      <c r="E5" s="16">
        <v>2412.71</v>
      </c>
      <c r="F5" s="16">
        <v>2536.08</v>
      </c>
      <c r="G5" s="16">
        <v>2504.65</v>
      </c>
      <c r="H5" s="16">
        <v>2779.1200000000003</v>
      </c>
      <c r="I5" s="16">
        <v>2923.2400000000002</v>
      </c>
      <c r="J5" s="16">
        <v>3046.61</v>
      </c>
      <c r="K5" s="16">
        <v>2156.41</v>
      </c>
      <c r="L5" s="16">
        <v>2430.88</v>
      </c>
      <c r="M5" s="16">
        <v>2575</v>
      </c>
      <c r="N5" s="16">
        <v>2698.3700000000003</v>
      </c>
      <c r="O5" s="16">
        <v>2152.33</v>
      </c>
      <c r="P5" s="16">
        <v>2426.8000000000002</v>
      </c>
      <c r="Q5" s="16">
        <v>2570.92</v>
      </c>
      <c r="R5" s="16">
        <v>2694.29</v>
      </c>
      <c r="S5" s="16">
        <v>1787.13</v>
      </c>
      <c r="T5" s="16">
        <v>2061.6000000000004</v>
      </c>
      <c r="U5" s="16">
        <v>2205.7200000000003</v>
      </c>
      <c r="V5" s="16">
        <v>2329.09</v>
      </c>
      <c r="W5" s="16">
        <v>1403.15</v>
      </c>
      <c r="X5" s="16">
        <v>1677.6200000000001</v>
      </c>
      <c r="Y5" s="16">
        <v>1821.74</v>
      </c>
      <c r="Z5" s="16">
        <v>1945.11</v>
      </c>
    </row>
    <row r="6" spans="1:26" ht="24">
      <c r="A6" s="14" t="s">
        <v>8</v>
      </c>
      <c r="B6" s="15" t="s">
        <v>7</v>
      </c>
      <c r="C6" s="16">
        <v>1977.71</v>
      </c>
      <c r="D6" s="16">
        <v>2252.1799999999998</v>
      </c>
      <c r="E6" s="16">
        <v>2396.3000000000002</v>
      </c>
      <c r="F6" s="16">
        <v>2519.67</v>
      </c>
      <c r="G6" s="16">
        <v>2483.29</v>
      </c>
      <c r="H6" s="16">
        <v>2757.76</v>
      </c>
      <c r="I6" s="16">
        <v>2901.88</v>
      </c>
      <c r="J6" s="16">
        <v>3025.25</v>
      </c>
      <c r="K6" s="16">
        <v>2138.42</v>
      </c>
      <c r="L6" s="16">
        <v>2412.89</v>
      </c>
      <c r="M6" s="16">
        <v>2557.0099999999998</v>
      </c>
      <c r="N6" s="16">
        <v>2680.38</v>
      </c>
      <c r="O6" s="16">
        <v>2134.37</v>
      </c>
      <c r="P6" s="16">
        <v>2408.84</v>
      </c>
      <c r="Q6" s="16">
        <v>2552.96</v>
      </c>
      <c r="R6" s="16">
        <v>2676.33</v>
      </c>
      <c r="S6" s="16">
        <v>1772.72</v>
      </c>
      <c r="T6" s="16">
        <v>2047.19</v>
      </c>
      <c r="U6" s="16">
        <v>2191.31</v>
      </c>
      <c r="V6" s="16">
        <v>2314.6799999999998</v>
      </c>
      <c r="W6" s="16">
        <v>1392.47</v>
      </c>
      <c r="X6" s="16">
        <v>1666.9400000000003</v>
      </c>
      <c r="Y6" s="16">
        <v>1811.0600000000002</v>
      </c>
      <c r="Z6" s="16">
        <v>1934.43</v>
      </c>
    </row>
    <row r="7" spans="1:26" ht="24">
      <c r="A7" s="14" t="s">
        <v>9</v>
      </c>
      <c r="B7" s="15" t="s">
        <v>7</v>
      </c>
      <c r="C7" s="16">
        <v>1880.1799999999998</v>
      </c>
      <c r="D7" s="16">
        <v>2154.6499999999996</v>
      </c>
      <c r="E7" s="16">
        <v>2298.77</v>
      </c>
      <c r="F7" s="16">
        <v>2422.14</v>
      </c>
      <c r="G7" s="16">
        <v>2356.3599999999997</v>
      </c>
      <c r="H7" s="16">
        <v>2630.8300000000004</v>
      </c>
      <c r="I7" s="16">
        <v>2774.9500000000003</v>
      </c>
      <c r="J7" s="16">
        <v>2898.32</v>
      </c>
      <c r="K7" s="16">
        <v>2031.54</v>
      </c>
      <c r="L7" s="16">
        <v>2306.0100000000002</v>
      </c>
      <c r="M7" s="16">
        <v>2450.13</v>
      </c>
      <c r="N7" s="16">
        <v>2573.5000000000005</v>
      </c>
      <c r="O7" s="16">
        <v>2027.6999999999998</v>
      </c>
      <c r="P7" s="16">
        <v>2302.17</v>
      </c>
      <c r="Q7" s="16">
        <v>2446.29</v>
      </c>
      <c r="R7" s="16">
        <v>2569.66</v>
      </c>
      <c r="S7" s="16">
        <v>1687.0900000000001</v>
      </c>
      <c r="T7" s="16">
        <v>1961.5600000000002</v>
      </c>
      <c r="U7" s="16">
        <v>2105.6800000000003</v>
      </c>
      <c r="V7" s="16">
        <v>2229.0500000000002</v>
      </c>
      <c r="W7" s="16">
        <v>1329.0100000000002</v>
      </c>
      <c r="X7" s="16">
        <v>1603.4800000000002</v>
      </c>
      <c r="Y7" s="16">
        <v>1747.6000000000001</v>
      </c>
      <c r="Z7" s="16">
        <v>1870.97</v>
      </c>
    </row>
    <row r="8" spans="1:26" ht="24">
      <c r="A8" s="14" t="s">
        <v>10</v>
      </c>
      <c r="B8" s="15" t="s">
        <v>7</v>
      </c>
      <c r="C8" s="16">
        <v>1801.47</v>
      </c>
      <c r="D8" s="16">
        <v>2075.9399999999996</v>
      </c>
      <c r="E8" s="16">
        <v>2220.06</v>
      </c>
      <c r="F8" s="16">
        <v>2343.4299999999998</v>
      </c>
      <c r="G8" s="16">
        <v>2253.91</v>
      </c>
      <c r="H8" s="16">
        <v>2528.38</v>
      </c>
      <c r="I8" s="16">
        <v>2672.5</v>
      </c>
      <c r="J8" s="16">
        <v>2795.87</v>
      </c>
      <c r="K8" s="16">
        <v>1945.2700000000002</v>
      </c>
      <c r="L8" s="16">
        <v>2219.7400000000002</v>
      </c>
      <c r="M8" s="16">
        <v>2363.86</v>
      </c>
      <c r="N8" s="16">
        <v>2487.2300000000005</v>
      </c>
      <c r="O8" s="16">
        <v>1941.6</v>
      </c>
      <c r="P8" s="16">
        <v>2216.0700000000002</v>
      </c>
      <c r="Q8" s="16">
        <v>2360.19</v>
      </c>
      <c r="R8" s="16">
        <v>2483.56</v>
      </c>
      <c r="S8" s="16">
        <v>1617.9799999999998</v>
      </c>
      <c r="T8" s="16">
        <v>1892.45</v>
      </c>
      <c r="U8" s="16">
        <v>2036.57</v>
      </c>
      <c r="V8" s="16">
        <v>2159.94</v>
      </c>
      <c r="W8" s="16">
        <v>1277.78</v>
      </c>
      <c r="X8" s="16">
        <v>1552.2500000000002</v>
      </c>
      <c r="Y8" s="16">
        <v>1696.3700000000001</v>
      </c>
      <c r="Z8" s="16">
        <v>1819.74</v>
      </c>
    </row>
    <row r="9" spans="1:26" ht="15.75" customHeight="1">
      <c r="A9" s="788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3" t="s">
        <v>21</v>
      </c>
      <c r="T9" s="793"/>
      <c r="U9" s="793"/>
      <c r="V9" s="793"/>
      <c r="W9" s="793" t="s">
        <v>22</v>
      </c>
      <c r="X9" s="793"/>
      <c r="Y9" s="793"/>
      <c r="Z9" s="793"/>
    </row>
    <row r="10" spans="1:26">
      <c r="A10" s="791"/>
      <c r="B10" s="792"/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2</v>
      </c>
      <c r="H10" s="11" t="s">
        <v>3</v>
      </c>
      <c r="I10" s="11" t="s">
        <v>4</v>
      </c>
      <c r="J10" s="11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13" t="s">
        <v>5</v>
      </c>
    </row>
    <row r="11" spans="1:26" ht="24">
      <c r="A11" s="14" t="s">
        <v>6</v>
      </c>
      <c r="B11" s="15" t="s">
        <v>7</v>
      </c>
      <c r="C11" s="16">
        <v>1558.59</v>
      </c>
      <c r="D11" s="16">
        <v>1882.47</v>
      </c>
      <c r="E11" s="16">
        <v>2052.5300000000002</v>
      </c>
      <c r="F11" s="16">
        <v>2198.1</v>
      </c>
      <c r="G11" s="16">
        <v>1695.15</v>
      </c>
      <c r="H11" s="16">
        <v>2019.0300000000002</v>
      </c>
      <c r="I11" s="16">
        <v>2189.09</v>
      </c>
      <c r="J11" s="16">
        <v>2334.6600000000003</v>
      </c>
      <c r="K11" s="16">
        <v>1827.5900000000001</v>
      </c>
      <c r="L11" s="16">
        <v>2151.4699999999998</v>
      </c>
      <c r="M11" s="16">
        <v>2321.5299999999997</v>
      </c>
      <c r="N11" s="16">
        <v>2467.1</v>
      </c>
      <c r="O11" s="16">
        <v>1919.83</v>
      </c>
      <c r="P11" s="16">
        <v>2243.71</v>
      </c>
      <c r="Q11" s="16">
        <v>2413.77</v>
      </c>
      <c r="R11" s="16">
        <v>2559.3399999999997</v>
      </c>
      <c r="S11" s="16">
        <v>2258.19</v>
      </c>
      <c r="T11" s="16">
        <v>2582.0700000000002</v>
      </c>
      <c r="U11" s="16">
        <v>2752.13</v>
      </c>
      <c r="V11" s="16">
        <v>2897.7</v>
      </c>
      <c r="W11" s="16">
        <v>2128.6</v>
      </c>
      <c r="X11" s="16">
        <v>2452.48</v>
      </c>
      <c r="Y11" s="16">
        <v>2622.54</v>
      </c>
      <c r="Z11" s="16">
        <v>2768.11</v>
      </c>
    </row>
    <row r="12" spans="1:26" ht="24">
      <c r="A12" s="14" t="s">
        <v>8</v>
      </c>
      <c r="B12" s="15" t="s">
        <v>7</v>
      </c>
      <c r="C12" s="16">
        <v>1555.22</v>
      </c>
      <c r="D12" s="16">
        <v>1879.1000000000001</v>
      </c>
      <c r="E12" s="16">
        <v>2049.1600000000003</v>
      </c>
      <c r="F12" s="16">
        <v>2194.73</v>
      </c>
      <c r="G12" s="16">
        <v>1691.4</v>
      </c>
      <c r="H12" s="16">
        <v>2015.2800000000002</v>
      </c>
      <c r="I12" s="16">
        <v>2185.34</v>
      </c>
      <c r="J12" s="16">
        <v>2330.9100000000003</v>
      </c>
      <c r="K12" s="16">
        <v>1823.47</v>
      </c>
      <c r="L12" s="16">
        <v>2147.35</v>
      </c>
      <c r="M12" s="16">
        <v>2317.41</v>
      </c>
      <c r="N12" s="16">
        <v>2462.98</v>
      </c>
      <c r="O12" s="16">
        <v>1915.44</v>
      </c>
      <c r="P12" s="16">
        <v>2239.3199999999997</v>
      </c>
      <c r="Q12" s="16">
        <v>2409.3799999999997</v>
      </c>
      <c r="R12" s="16">
        <v>2554.9499999999994</v>
      </c>
      <c r="S12" s="16">
        <v>2252.86</v>
      </c>
      <c r="T12" s="16">
        <v>2576.7399999999998</v>
      </c>
      <c r="U12" s="16">
        <v>2746.8</v>
      </c>
      <c r="V12" s="16">
        <v>2892.37</v>
      </c>
      <c r="W12" s="16">
        <v>2123.64</v>
      </c>
      <c r="X12" s="16">
        <v>2447.52</v>
      </c>
      <c r="Y12" s="16">
        <v>2617.58</v>
      </c>
      <c r="Z12" s="16">
        <v>2763.15</v>
      </c>
    </row>
    <row r="13" spans="1:26" ht="24">
      <c r="A13" s="14" t="s">
        <v>9</v>
      </c>
      <c r="B13" s="15" t="s">
        <v>7</v>
      </c>
      <c r="C13" s="16">
        <v>1535.3600000000001</v>
      </c>
      <c r="D13" s="16">
        <v>1859.24</v>
      </c>
      <c r="E13" s="16">
        <v>2029.3000000000002</v>
      </c>
      <c r="F13" s="16">
        <v>2174.87</v>
      </c>
      <c r="G13" s="16">
        <v>1669.2900000000002</v>
      </c>
      <c r="H13" s="16">
        <v>1993.1700000000003</v>
      </c>
      <c r="I13" s="16">
        <v>2163.23</v>
      </c>
      <c r="J13" s="16">
        <v>2308.8000000000002</v>
      </c>
      <c r="K13" s="16">
        <v>1799.17</v>
      </c>
      <c r="L13" s="16">
        <v>2123.0500000000002</v>
      </c>
      <c r="M13" s="16">
        <v>2293.11</v>
      </c>
      <c r="N13" s="16">
        <v>2438.6800000000003</v>
      </c>
      <c r="O13" s="16">
        <v>1889.63</v>
      </c>
      <c r="P13" s="16">
        <v>2213.5099999999998</v>
      </c>
      <c r="Q13" s="16">
        <v>2383.5699999999997</v>
      </c>
      <c r="R13" s="16">
        <v>2529.1399999999994</v>
      </c>
      <c r="S13" s="16">
        <v>2221.48</v>
      </c>
      <c r="T13" s="16">
        <v>2545.36</v>
      </c>
      <c r="U13" s="16">
        <v>2715.42</v>
      </c>
      <c r="V13" s="16">
        <v>2860.99</v>
      </c>
      <c r="W13" s="16">
        <v>2094.39</v>
      </c>
      <c r="X13" s="16">
        <v>2418.27</v>
      </c>
      <c r="Y13" s="16">
        <v>2588.33</v>
      </c>
      <c r="Z13" s="16">
        <v>2733.9</v>
      </c>
    </row>
    <row r="14" spans="1:26" ht="24">
      <c r="A14" s="14" t="s">
        <v>10</v>
      </c>
      <c r="B14" s="15" t="s">
        <v>7</v>
      </c>
      <c r="C14" s="16">
        <v>1519.2800000000002</v>
      </c>
      <c r="D14" s="16">
        <v>1843.16</v>
      </c>
      <c r="E14" s="16">
        <v>2013.2200000000003</v>
      </c>
      <c r="F14" s="16">
        <v>2158.79</v>
      </c>
      <c r="G14" s="16">
        <v>1651.38</v>
      </c>
      <c r="H14" s="16">
        <v>1975.2600000000002</v>
      </c>
      <c r="I14" s="16">
        <v>2145.3200000000002</v>
      </c>
      <c r="J14" s="16">
        <v>2290.8900000000003</v>
      </c>
      <c r="K14" s="16">
        <v>1779.5</v>
      </c>
      <c r="L14" s="16">
        <v>2103.38</v>
      </c>
      <c r="M14" s="16">
        <v>2273.44</v>
      </c>
      <c r="N14" s="16">
        <v>2419.0100000000002</v>
      </c>
      <c r="O14" s="16">
        <v>1868.72</v>
      </c>
      <c r="P14" s="16">
        <v>2192.6</v>
      </c>
      <c r="Q14" s="16">
        <v>2362.66</v>
      </c>
      <c r="R14" s="16">
        <v>2508.2299999999996</v>
      </c>
      <c r="S14" s="16">
        <v>2196.0700000000002</v>
      </c>
      <c r="T14" s="16">
        <v>2519.9499999999998</v>
      </c>
      <c r="U14" s="16">
        <v>2690.01</v>
      </c>
      <c r="V14" s="16">
        <v>2835.58</v>
      </c>
      <c r="W14" s="16">
        <v>2070.71</v>
      </c>
      <c r="X14" s="16">
        <v>2394.59</v>
      </c>
      <c r="Y14" s="16">
        <v>2564.65</v>
      </c>
      <c r="Z14" s="16">
        <v>2710.22</v>
      </c>
    </row>
    <row r="16" spans="1:26" ht="57" hidden="1" customHeight="1">
      <c r="A16" s="773" t="s">
        <v>29</v>
      </c>
      <c r="B16" s="774"/>
      <c r="C16" s="774"/>
      <c r="D16" s="774"/>
      <c r="E16" s="774"/>
      <c r="F16" s="774"/>
      <c r="G16" s="774"/>
      <c r="H16" s="774"/>
      <c r="I16" s="774"/>
      <c r="J16" s="774"/>
      <c r="K16" s="774"/>
      <c r="L16" s="774"/>
      <c r="M16" s="774"/>
      <c r="N16" s="774"/>
      <c r="O16" s="774"/>
      <c r="P16" s="774"/>
      <c r="Q16" s="774"/>
      <c r="R16" s="774"/>
      <c r="S16" s="774"/>
      <c r="T16" s="774"/>
      <c r="U16" s="774"/>
      <c r="V16" s="774"/>
      <c r="W16" s="774"/>
      <c r="X16" s="774"/>
      <c r="Y16" s="774"/>
      <c r="Z16" s="774"/>
    </row>
    <row r="17" spans="1:26" ht="15" hidden="1" customHeight="1">
      <c r="A17" s="788" t="s">
        <v>26</v>
      </c>
      <c r="B17" s="790"/>
      <c r="C17" s="793" t="s">
        <v>11</v>
      </c>
      <c r="D17" s="793"/>
      <c r="E17" s="793"/>
      <c r="F17" s="793"/>
      <c r="G17" s="793" t="s">
        <v>12</v>
      </c>
      <c r="H17" s="793"/>
      <c r="I17" s="793"/>
      <c r="J17" s="793"/>
      <c r="K17" s="788" t="s">
        <v>13</v>
      </c>
      <c r="L17" s="789"/>
      <c r="M17" s="789"/>
      <c r="N17" s="790"/>
      <c r="O17" s="788" t="s">
        <v>14</v>
      </c>
      <c r="P17" s="789"/>
      <c r="Q17" s="789"/>
      <c r="R17" s="790"/>
      <c r="S17" s="788" t="s">
        <v>15</v>
      </c>
      <c r="T17" s="789"/>
      <c r="U17" s="789"/>
      <c r="V17" s="790"/>
      <c r="W17" s="788" t="s">
        <v>16</v>
      </c>
      <c r="X17" s="789"/>
      <c r="Y17" s="789"/>
      <c r="Z17" s="790"/>
    </row>
    <row r="18" spans="1:26" hidden="1">
      <c r="A18" s="791"/>
      <c r="B18" s="792"/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2</v>
      </c>
      <c r="H18" s="11" t="s">
        <v>3</v>
      </c>
      <c r="I18" s="11" t="s">
        <v>4</v>
      </c>
      <c r="J18" s="11" t="s">
        <v>5</v>
      </c>
      <c r="K18" s="12" t="s">
        <v>2</v>
      </c>
      <c r="L18" s="12" t="s">
        <v>3</v>
      </c>
      <c r="M18" s="12" t="s">
        <v>4</v>
      </c>
      <c r="N18" s="12" t="s">
        <v>5</v>
      </c>
      <c r="O18" s="13" t="s">
        <v>2</v>
      </c>
      <c r="P18" s="13" t="s">
        <v>3</v>
      </c>
      <c r="Q18" s="13" t="s">
        <v>4</v>
      </c>
      <c r="R18" s="13" t="s">
        <v>5</v>
      </c>
      <c r="S18" s="12" t="s">
        <v>2</v>
      </c>
      <c r="T18" s="12" t="s">
        <v>3</v>
      </c>
      <c r="U18" s="12" t="s">
        <v>4</v>
      </c>
      <c r="V18" s="12" t="s">
        <v>5</v>
      </c>
      <c r="W18" s="13" t="s">
        <v>2</v>
      </c>
      <c r="X18" s="13" t="s">
        <v>3</v>
      </c>
      <c r="Y18" s="13" t="s">
        <v>4</v>
      </c>
      <c r="Z18" s="13" t="s">
        <v>5</v>
      </c>
    </row>
    <row r="19" spans="1:26" ht="24" hidden="1">
      <c r="A19" s="14" t="s">
        <v>6</v>
      </c>
      <c r="B19" s="15" t="s">
        <v>7</v>
      </c>
      <c r="C19" s="17">
        <f>C5*1.105</f>
        <v>2203.5025999999998</v>
      </c>
      <c r="D19" s="17">
        <f t="shared" ref="D19:Z22" si="0">D5*1.105</f>
        <v>2506.7919499999998</v>
      </c>
      <c r="E19" s="17">
        <f t="shared" si="0"/>
        <v>2666.0445500000001</v>
      </c>
      <c r="F19" s="17">
        <f t="shared" si="0"/>
        <v>2802.3683999999998</v>
      </c>
      <c r="G19" s="17">
        <f t="shared" si="0"/>
        <v>2767.63825</v>
      </c>
      <c r="H19" s="17">
        <f t="shared" si="0"/>
        <v>3070.9276000000004</v>
      </c>
      <c r="I19" s="17">
        <f t="shared" si="0"/>
        <v>3230.1802000000002</v>
      </c>
      <c r="J19" s="17">
        <f t="shared" si="0"/>
        <v>3366.50405</v>
      </c>
      <c r="K19" s="17">
        <f t="shared" si="0"/>
        <v>2382.8330499999997</v>
      </c>
      <c r="L19" s="17">
        <f t="shared" si="0"/>
        <v>2686.1224000000002</v>
      </c>
      <c r="M19" s="17">
        <f t="shared" si="0"/>
        <v>2845.375</v>
      </c>
      <c r="N19" s="17">
        <f t="shared" si="0"/>
        <v>2981.6988500000002</v>
      </c>
      <c r="O19" s="17">
        <f t="shared" si="0"/>
        <v>2378.32465</v>
      </c>
      <c r="P19" s="17">
        <f t="shared" si="0"/>
        <v>2681.614</v>
      </c>
      <c r="Q19" s="17">
        <f t="shared" si="0"/>
        <v>2840.8665999999998</v>
      </c>
      <c r="R19" s="17">
        <f t="shared" si="0"/>
        <v>2977.1904500000001</v>
      </c>
      <c r="S19" s="17">
        <f t="shared" si="0"/>
        <v>1974.7786500000002</v>
      </c>
      <c r="T19" s="17">
        <f t="shared" si="0"/>
        <v>2278.0680000000002</v>
      </c>
      <c r="U19" s="17">
        <f t="shared" si="0"/>
        <v>2437.3206000000005</v>
      </c>
      <c r="V19" s="17">
        <f t="shared" si="0"/>
        <v>2573.6444500000002</v>
      </c>
      <c r="W19" s="17">
        <f t="shared" si="0"/>
        <v>1550.4807500000002</v>
      </c>
      <c r="X19" s="17">
        <f t="shared" si="0"/>
        <v>1853.7701000000002</v>
      </c>
      <c r="Y19" s="17">
        <f t="shared" si="0"/>
        <v>2013.0227</v>
      </c>
      <c r="Z19" s="17">
        <f t="shared" si="0"/>
        <v>2149.3465499999998</v>
      </c>
    </row>
    <row r="20" spans="1:26" ht="24" hidden="1">
      <c r="A20" s="14" t="s">
        <v>8</v>
      </c>
      <c r="B20" s="15" t="s">
        <v>7</v>
      </c>
      <c r="C20" s="17">
        <f>C6*1.105</f>
        <v>2185.3695499999999</v>
      </c>
      <c r="D20" s="17">
        <f t="shared" ref="D20:R20" si="1">D6*1.105</f>
        <v>2488.6588999999999</v>
      </c>
      <c r="E20" s="17">
        <f t="shared" si="1"/>
        <v>2647.9115000000002</v>
      </c>
      <c r="F20" s="17">
        <f t="shared" si="1"/>
        <v>2784.2353499999999</v>
      </c>
      <c r="G20" s="17">
        <f t="shared" si="1"/>
        <v>2744.0354499999999</v>
      </c>
      <c r="H20" s="17">
        <f t="shared" si="1"/>
        <v>3047.3248000000003</v>
      </c>
      <c r="I20" s="17">
        <f t="shared" si="1"/>
        <v>3206.5774000000001</v>
      </c>
      <c r="J20" s="17">
        <f t="shared" si="1"/>
        <v>3342.9012499999999</v>
      </c>
      <c r="K20" s="17">
        <f t="shared" si="1"/>
        <v>2362.9540999999999</v>
      </c>
      <c r="L20" s="17">
        <f t="shared" si="1"/>
        <v>2666.2434499999999</v>
      </c>
      <c r="M20" s="17">
        <f t="shared" si="1"/>
        <v>2825.4960499999997</v>
      </c>
      <c r="N20" s="17">
        <f t="shared" si="1"/>
        <v>2961.8199</v>
      </c>
      <c r="O20" s="17">
        <f t="shared" si="1"/>
        <v>2358.47885</v>
      </c>
      <c r="P20" s="17">
        <f t="shared" si="1"/>
        <v>2661.7682</v>
      </c>
      <c r="Q20" s="17">
        <f t="shared" si="1"/>
        <v>2821.0207999999998</v>
      </c>
      <c r="R20" s="17">
        <f t="shared" si="1"/>
        <v>2957.34465</v>
      </c>
      <c r="S20" s="17">
        <f t="shared" si="0"/>
        <v>1958.8556000000001</v>
      </c>
      <c r="T20" s="17">
        <f t="shared" si="0"/>
        <v>2262.1449499999999</v>
      </c>
      <c r="U20" s="17">
        <f t="shared" si="0"/>
        <v>2421.3975499999997</v>
      </c>
      <c r="V20" s="17">
        <f t="shared" si="0"/>
        <v>2557.7213999999999</v>
      </c>
      <c r="W20" s="17">
        <f t="shared" si="0"/>
        <v>1538.6793500000001</v>
      </c>
      <c r="X20" s="17">
        <f t="shared" si="0"/>
        <v>1841.9687000000004</v>
      </c>
      <c r="Y20" s="17">
        <f t="shared" si="0"/>
        <v>2001.2213000000002</v>
      </c>
      <c r="Z20" s="17">
        <f t="shared" si="0"/>
        <v>2137.5451499999999</v>
      </c>
    </row>
    <row r="21" spans="1:26" ht="24" hidden="1">
      <c r="A21" s="14" t="s">
        <v>9</v>
      </c>
      <c r="B21" s="15" t="s">
        <v>7</v>
      </c>
      <c r="C21" s="17">
        <f>C7*1.105</f>
        <v>2077.5989</v>
      </c>
      <c r="D21" s="17">
        <f t="shared" si="0"/>
        <v>2380.8882499999995</v>
      </c>
      <c r="E21" s="17">
        <f t="shared" si="0"/>
        <v>2540.1408499999998</v>
      </c>
      <c r="F21" s="17">
        <f t="shared" si="0"/>
        <v>2676.4647</v>
      </c>
      <c r="G21" s="17">
        <f t="shared" si="0"/>
        <v>2603.7777999999994</v>
      </c>
      <c r="H21" s="17">
        <f t="shared" si="0"/>
        <v>2907.0671500000003</v>
      </c>
      <c r="I21" s="17">
        <f t="shared" si="0"/>
        <v>3066.3197500000001</v>
      </c>
      <c r="J21" s="17">
        <f t="shared" si="0"/>
        <v>3202.6436000000003</v>
      </c>
      <c r="K21" s="17">
        <f t="shared" si="0"/>
        <v>2244.8516999999997</v>
      </c>
      <c r="L21" s="17">
        <f t="shared" si="0"/>
        <v>2548.1410500000002</v>
      </c>
      <c r="M21" s="17">
        <f t="shared" si="0"/>
        <v>2707.39365</v>
      </c>
      <c r="N21" s="17">
        <f t="shared" si="0"/>
        <v>2843.7175000000007</v>
      </c>
      <c r="O21" s="17">
        <f t="shared" si="0"/>
        <v>2240.6084999999998</v>
      </c>
      <c r="P21" s="17">
        <f t="shared" si="0"/>
        <v>2543.8978499999998</v>
      </c>
      <c r="Q21" s="17">
        <f t="shared" si="0"/>
        <v>2703.1504500000001</v>
      </c>
      <c r="R21" s="17">
        <f t="shared" si="0"/>
        <v>2839.4742999999999</v>
      </c>
      <c r="S21" s="17">
        <f t="shared" si="0"/>
        <v>1864.2344500000002</v>
      </c>
      <c r="T21" s="17">
        <f t="shared" si="0"/>
        <v>2167.5237999999999</v>
      </c>
      <c r="U21" s="17">
        <f t="shared" si="0"/>
        <v>2326.7764000000002</v>
      </c>
      <c r="V21" s="17">
        <f t="shared" si="0"/>
        <v>2463.10025</v>
      </c>
      <c r="W21" s="17">
        <f t="shared" si="0"/>
        <v>1468.5560500000001</v>
      </c>
      <c r="X21" s="17">
        <f t="shared" si="0"/>
        <v>1771.8454000000002</v>
      </c>
      <c r="Y21" s="17">
        <f t="shared" si="0"/>
        <v>1931.0980000000002</v>
      </c>
      <c r="Z21" s="17">
        <f t="shared" si="0"/>
        <v>2067.4218500000002</v>
      </c>
    </row>
    <row r="22" spans="1:26" ht="24" hidden="1">
      <c r="A22" s="14" t="s">
        <v>10</v>
      </c>
      <c r="B22" s="15" t="s">
        <v>7</v>
      </c>
      <c r="C22" s="17">
        <f>C8*1.105</f>
        <v>1990.62435</v>
      </c>
      <c r="D22" s="17">
        <f t="shared" si="0"/>
        <v>2293.9136999999996</v>
      </c>
      <c r="E22" s="17">
        <f t="shared" si="0"/>
        <v>2453.1662999999999</v>
      </c>
      <c r="F22" s="17">
        <f t="shared" si="0"/>
        <v>2589.4901499999996</v>
      </c>
      <c r="G22" s="17">
        <f t="shared" si="0"/>
        <v>2490.5705499999999</v>
      </c>
      <c r="H22" s="17">
        <f t="shared" si="0"/>
        <v>2793.8598999999999</v>
      </c>
      <c r="I22" s="17">
        <f t="shared" si="0"/>
        <v>2953.1124999999997</v>
      </c>
      <c r="J22" s="17">
        <f t="shared" si="0"/>
        <v>3089.4363499999999</v>
      </c>
      <c r="K22" s="17">
        <f t="shared" si="0"/>
        <v>2149.5233500000004</v>
      </c>
      <c r="L22" s="17">
        <f t="shared" si="0"/>
        <v>2452.8127000000004</v>
      </c>
      <c r="M22" s="17">
        <f t="shared" si="0"/>
        <v>2612.0653000000002</v>
      </c>
      <c r="N22" s="17">
        <f t="shared" si="0"/>
        <v>2748.3891500000004</v>
      </c>
      <c r="O22" s="17">
        <f t="shared" si="0"/>
        <v>2145.4679999999998</v>
      </c>
      <c r="P22" s="17">
        <f t="shared" si="0"/>
        <v>2448.7573500000003</v>
      </c>
      <c r="Q22" s="17">
        <f t="shared" si="0"/>
        <v>2608.0099500000001</v>
      </c>
      <c r="R22" s="17">
        <f t="shared" si="0"/>
        <v>2744.3337999999999</v>
      </c>
      <c r="S22" s="17">
        <f t="shared" si="0"/>
        <v>1787.8678999999997</v>
      </c>
      <c r="T22" s="17">
        <f t="shared" si="0"/>
        <v>2091.1572500000002</v>
      </c>
      <c r="U22" s="17">
        <f t="shared" si="0"/>
        <v>2250.40985</v>
      </c>
      <c r="V22" s="17">
        <f t="shared" si="0"/>
        <v>2386.7337000000002</v>
      </c>
      <c r="W22" s="17">
        <f t="shared" si="0"/>
        <v>1411.9468999999999</v>
      </c>
      <c r="X22" s="17">
        <f t="shared" si="0"/>
        <v>1715.2362500000002</v>
      </c>
      <c r="Y22" s="17">
        <f t="shared" si="0"/>
        <v>1874.4888500000002</v>
      </c>
      <c r="Z22" s="17">
        <f t="shared" si="0"/>
        <v>2010.8126999999999</v>
      </c>
    </row>
    <row r="23" spans="1:26" ht="15" hidden="1" customHeight="1">
      <c r="A23" s="788" t="s">
        <v>27</v>
      </c>
      <c r="B23" s="790"/>
      <c r="C23" s="793" t="s">
        <v>17</v>
      </c>
      <c r="D23" s="793"/>
      <c r="E23" s="793"/>
      <c r="F23" s="793"/>
      <c r="G23" s="793" t="s">
        <v>18</v>
      </c>
      <c r="H23" s="793"/>
      <c r="I23" s="793"/>
      <c r="J23" s="793"/>
      <c r="K23" s="793" t="s">
        <v>19</v>
      </c>
      <c r="L23" s="793"/>
      <c r="M23" s="793"/>
      <c r="N23" s="793"/>
      <c r="O23" s="793" t="s">
        <v>20</v>
      </c>
      <c r="P23" s="793"/>
      <c r="Q23" s="793"/>
      <c r="R23" s="793"/>
      <c r="S23" s="793" t="s">
        <v>21</v>
      </c>
      <c r="T23" s="793"/>
      <c r="U23" s="793"/>
      <c r="V23" s="793"/>
      <c r="W23" s="793" t="s">
        <v>22</v>
      </c>
      <c r="X23" s="793"/>
      <c r="Y23" s="793"/>
      <c r="Z23" s="793"/>
    </row>
    <row r="24" spans="1:26" hidden="1">
      <c r="A24" s="791"/>
      <c r="B24" s="792"/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2</v>
      </c>
      <c r="H24" s="11" t="s">
        <v>3</v>
      </c>
      <c r="I24" s="11" t="s">
        <v>4</v>
      </c>
      <c r="J24" s="11" t="s">
        <v>5</v>
      </c>
      <c r="K24" s="12" t="s">
        <v>2</v>
      </c>
      <c r="L24" s="12" t="s">
        <v>3</v>
      </c>
      <c r="M24" s="12" t="s">
        <v>4</v>
      </c>
      <c r="N24" s="12" t="s">
        <v>5</v>
      </c>
      <c r="O24" s="13" t="s">
        <v>2</v>
      </c>
      <c r="P24" s="13" t="s">
        <v>3</v>
      </c>
      <c r="Q24" s="13" t="s">
        <v>4</v>
      </c>
      <c r="R24" s="13" t="s">
        <v>5</v>
      </c>
      <c r="S24" s="12" t="s">
        <v>2</v>
      </c>
      <c r="T24" s="12" t="s">
        <v>3</v>
      </c>
      <c r="U24" s="12" t="s">
        <v>4</v>
      </c>
      <c r="V24" s="12" t="s">
        <v>5</v>
      </c>
      <c r="W24" s="13" t="s">
        <v>2</v>
      </c>
      <c r="X24" s="13" t="s">
        <v>3</v>
      </c>
      <c r="Y24" s="13" t="s">
        <v>4</v>
      </c>
      <c r="Z24" s="13" t="s">
        <v>5</v>
      </c>
    </row>
    <row r="25" spans="1:26" ht="24" hidden="1">
      <c r="A25" s="14" t="s">
        <v>6</v>
      </c>
      <c r="B25" s="15" t="s">
        <v>7</v>
      </c>
      <c r="C25" s="17">
        <f>C11*1.105</f>
        <v>1722.2419499999999</v>
      </c>
      <c r="D25" s="17">
        <f t="shared" ref="D25:R25" si="2">D11*1.105</f>
        <v>2080.1293500000002</v>
      </c>
      <c r="E25" s="17">
        <f t="shared" si="2"/>
        <v>2268.04565</v>
      </c>
      <c r="F25" s="17">
        <f t="shared" si="2"/>
        <v>2428.9004999999997</v>
      </c>
      <c r="G25" s="17">
        <f t="shared" si="2"/>
        <v>1873.14075</v>
      </c>
      <c r="H25" s="17">
        <f t="shared" si="2"/>
        <v>2231.0281500000001</v>
      </c>
      <c r="I25" s="17">
        <f t="shared" si="2"/>
        <v>2418.94445</v>
      </c>
      <c r="J25" s="17">
        <f t="shared" si="2"/>
        <v>2579.7993000000001</v>
      </c>
      <c r="K25" s="17">
        <f t="shared" si="2"/>
        <v>2019.4869500000002</v>
      </c>
      <c r="L25" s="17">
        <f t="shared" si="2"/>
        <v>2377.3743499999996</v>
      </c>
      <c r="M25" s="17">
        <f t="shared" si="2"/>
        <v>2565.2906499999995</v>
      </c>
      <c r="N25" s="17">
        <f t="shared" si="2"/>
        <v>2726.1454999999996</v>
      </c>
      <c r="O25" s="17">
        <f t="shared" si="2"/>
        <v>2121.4121500000001</v>
      </c>
      <c r="P25" s="17">
        <f t="shared" si="2"/>
        <v>2479.2995500000002</v>
      </c>
      <c r="Q25" s="17">
        <f t="shared" si="2"/>
        <v>2667.21585</v>
      </c>
      <c r="R25" s="17">
        <f t="shared" si="2"/>
        <v>2828.0706999999998</v>
      </c>
      <c r="S25" s="17">
        <f>S11*1.115*1.105</f>
        <v>2782.2594442500003</v>
      </c>
      <c r="T25" s="17">
        <f t="shared" ref="T25:Z25" si="3">T11*1.115*1.105</f>
        <v>3181.3038952500006</v>
      </c>
      <c r="U25" s="17">
        <f t="shared" si="3"/>
        <v>3390.83056975</v>
      </c>
      <c r="V25" s="17">
        <f t="shared" si="3"/>
        <v>3570.1837274999993</v>
      </c>
      <c r="W25" s="17">
        <f t="shared" si="3"/>
        <v>2622.5948449999996</v>
      </c>
      <c r="X25" s="17">
        <f t="shared" si="3"/>
        <v>3021.6392959999998</v>
      </c>
      <c r="Y25" s="17">
        <f t="shared" si="3"/>
        <v>3231.1659704999997</v>
      </c>
      <c r="Z25" s="17">
        <f t="shared" si="3"/>
        <v>3410.51912825</v>
      </c>
    </row>
    <row r="26" spans="1:26" ht="24" hidden="1">
      <c r="A26" s="14" t="s">
        <v>8</v>
      </c>
      <c r="B26" s="15" t="s">
        <v>7</v>
      </c>
      <c r="C26" s="17">
        <f t="shared" ref="C26:R26" si="4">C12*1.105</f>
        <v>1718.5181</v>
      </c>
      <c r="D26" s="17">
        <f t="shared" si="4"/>
        <v>2076.4055000000003</v>
      </c>
      <c r="E26" s="17">
        <f t="shared" si="4"/>
        <v>2264.3218000000002</v>
      </c>
      <c r="F26" s="17">
        <f t="shared" si="4"/>
        <v>2425.1766499999999</v>
      </c>
      <c r="G26" s="17">
        <f t="shared" si="4"/>
        <v>1868.9970000000001</v>
      </c>
      <c r="H26" s="17">
        <f t="shared" si="4"/>
        <v>2226.8844000000004</v>
      </c>
      <c r="I26" s="17">
        <f t="shared" si="4"/>
        <v>2414.8007000000002</v>
      </c>
      <c r="J26" s="17">
        <f t="shared" si="4"/>
        <v>2575.6555500000004</v>
      </c>
      <c r="K26" s="17">
        <f t="shared" si="4"/>
        <v>2014.93435</v>
      </c>
      <c r="L26" s="17">
        <f t="shared" si="4"/>
        <v>2372.8217500000001</v>
      </c>
      <c r="M26" s="17">
        <f t="shared" si="4"/>
        <v>2560.7380499999999</v>
      </c>
      <c r="N26" s="17">
        <f t="shared" si="4"/>
        <v>2721.5929000000001</v>
      </c>
      <c r="O26" s="17">
        <f t="shared" si="4"/>
        <v>2116.5612000000001</v>
      </c>
      <c r="P26" s="17">
        <f t="shared" si="4"/>
        <v>2474.4485999999997</v>
      </c>
      <c r="Q26" s="17">
        <f t="shared" si="4"/>
        <v>2662.3648999999996</v>
      </c>
      <c r="R26" s="17">
        <f t="shared" si="4"/>
        <v>2823.2197499999993</v>
      </c>
      <c r="S26" s="17">
        <f t="shared" ref="S26:Z26" si="5">S12*1.115*1.105</f>
        <v>2775.6924844999999</v>
      </c>
      <c r="T26" s="17">
        <f t="shared" si="5"/>
        <v>3174.7369354999996</v>
      </c>
      <c r="U26" s="17">
        <f t="shared" si="5"/>
        <v>3384.2636100000004</v>
      </c>
      <c r="V26" s="17">
        <f t="shared" si="5"/>
        <v>3563.6167677499998</v>
      </c>
      <c r="W26" s="17">
        <f t="shared" si="5"/>
        <v>2616.483753</v>
      </c>
      <c r="X26" s="17">
        <f t="shared" si="5"/>
        <v>3015.5282040000002</v>
      </c>
      <c r="Y26" s="17">
        <f t="shared" si="5"/>
        <v>3225.0548784999996</v>
      </c>
      <c r="Z26" s="17">
        <f t="shared" si="5"/>
        <v>3404.4080362499999</v>
      </c>
    </row>
    <row r="27" spans="1:26" ht="24" hidden="1">
      <c r="A27" s="14" t="s">
        <v>9</v>
      </c>
      <c r="B27" s="15" t="s">
        <v>7</v>
      </c>
      <c r="C27" s="17">
        <f t="shared" ref="C27:R27" si="6">C13*1.105</f>
        <v>1696.5728000000001</v>
      </c>
      <c r="D27" s="17">
        <f t="shared" si="6"/>
        <v>2054.4602</v>
      </c>
      <c r="E27" s="17">
        <f t="shared" si="6"/>
        <v>2242.3765000000003</v>
      </c>
      <c r="F27" s="17">
        <f t="shared" si="6"/>
        <v>2403.23135</v>
      </c>
      <c r="G27" s="17">
        <f t="shared" si="6"/>
        <v>1844.5654500000003</v>
      </c>
      <c r="H27" s="17">
        <f t="shared" si="6"/>
        <v>2202.4528500000001</v>
      </c>
      <c r="I27" s="17">
        <f t="shared" si="6"/>
        <v>2390.36915</v>
      </c>
      <c r="J27" s="17">
        <f t="shared" si="6"/>
        <v>2551.2240000000002</v>
      </c>
      <c r="K27" s="17">
        <f t="shared" si="6"/>
        <v>1988.08285</v>
      </c>
      <c r="L27" s="17">
        <f t="shared" si="6"/>
        <v>2345.9702500000003</v>
      </c>
      <c r="M27" s="17">
        <f t="shared" si="6"/>
        <v>2533.8865500000002</v>
      </c>
      <c r="N27" s="17">
        <f t="shared" si="6"/>
        <v>2694.7414000000003</v>
      </c>
      <c r="O27" s="17">
        <f t="shared" si="6"/>
        <v>2088.04115</v>
      </c>
      <c r="P27" s="17">
        <f t="shared" si="6"/>
        <v>2445.9285499999996</v>
      </c>
      <c r="Q27" s="17">
        <f t="shared" si="6"/>
        <v>2633.8448499999995</v>
      </c>
      <c r="R27" s="17">
        <f t="shared" si="6"/>
        <v>2794.6996999999992</v>
      </c>
      <c r="S27" s="17">
        <f t="shared" ref="S27:Z27" si="7">S13*1.115*1.105</f>
        <v>2737.0299710000004</v>
      </c>
      <c r="T27" s="17">
        <f t="shared" si="7"/>
        <v>3136.0744219999997</v>
      </c>
      <c r="U27" s="17">
        <f t="shared" si="7"/>
        <v>3345.6010965</v>
      </c>
      <c r="V27" s="17">
        <f t="shared" si="7"/>
        <v>3524.9542542499994</v>
      </c>
      <c r="W27" s="17">
        <f t="shared" si="7"/>
        <v>2580.4455592499999</v>
      </c>
      <c r="X27" s="17">
        <f t="shared" si="7"/>
        <v>2979.4900102499996</v>
      </c>
      <c r="Y27" s="17">
        <f t="shared" si="7"/>
        <v>3189.0166847499995</v>
      </c>
      <c r="Z27" s="17">
        <f t="shared" si="7"/>
        <v>3368.3698424999998</v>
      </c>
    </row>
    <row r="28" spans="1:26" ht="24" hidden="1">
      <c r="A28" s="14" t="s">
        <v>10</v>
      </c>
      <c r="B28" s="15" t="s">
        <v>7</v>
      </c>
      <c r="C28" s="17">
        <f t="shared" ref="C28:R28" si="8">C14*1.105</f>
        <v>1678.8044000000002</v>
      </c>
      <c r="D28" s="17">
        <f t="shared" si="8"/>
        <v>2036.6918000000001</v>
      </c>
      <c r="E28" s="17">
        <f t="shared" si="8"/>
        <v>2224.6081000000004</v>
      </c>
      <c r="F28" s="17">
        <f t="shared" si="8"/>
        <v>2385.4629500000001</v>
      </c>
      <c r="G28" s="17">
        <f t="shared" si="8"/>
        <v>1824.7749000000001</v>
      </c>
      <c r="H28" s="17">
        <f t="shared" si="8"/>
        <v>2182.6623000000004</v>
      </c>
      <c r="I28" s="17">
        <f t="shared" si="8"/>
        <v>2370.5786000000003</v>
      </c>
      <c r="J28" s="17">
        <f t="shared" si="8"/>
        <v>2531.4334500000004</v>
      </c>
      <c r="K28" s="17">
        <f t="shared" si="8"/>
        <v>1966.3475000000001</v>
      </c>
      <c r="L28" s="17">
        <f t="shared" si="8"/>
        <v>2324.2348999999999</v>
      </c>
      <c r="M28" s="17">
        <f t="shared" si="8"/>
        <v>2512.1512000000002</v>
      </c>
      <c r="N28" s="17">
        <f t="shared" si="8"/>
        <v>2673.0060500000004</v>
      </c>
      <c r="O28" s="17">
        <f t="shared" si="8"/>
        <v>2064.9355999999998</v>
      </c>
      <c r="P28" s="17">
        <f t="shared" si="8"/>
        <v>2422.8229999999999</v>
      </c>
      <c r="Q28" s="17">
        <f t="shared" si="8"/>
        <v>2610.7392999999997</v>
      </c>
      <c r="R28" s="17">
        <f t="shared" si="8"/>
        <v>2771.5941499999994</v>
      </c>
      <c r="S28" s="17">
        <f t="shared" ref="S28:Z28" si="9">S14*1.115*1.105</f>
        <v>2705.7229452500001</v>
      </c>
      <c r="T28" s="17">
        <f t="shared" si="9"/>
        <v>3104.7673962499998</v>
      </c>
      <c r="U28" s="17">
        <f t="shared" si="9"/>
        <v>3314.2940707500002</v>
      </c>
      <c r="V28" s="17">
        <f t="shared" si="9"/>
        <v>3493.6472285</v>
      </c>
      <c r="W28" s="17">
        <f t="shared" si="9"/>
        <v>2551.2700232499997</v>
      </c>
      <c r="X28" s="17">
        <f t="shared" si="9"/>
        <v>2950.3144742499999</v>
      </c>
      <c r="Y28" s="17">
        <f t="shared" si="9"/>
        <v>3159.8411487499998</v>
      </c>
      <c r="Z28" s="17">
        <f t="shared" si="9"/>
        <v>3339.1943064999996</v>
      </c>
    </row>
    <row r="33" spans="1:3">
      <c r="A33" s="10" t="s">
        <v>30</v>
      </c>
    </row>
    <row r="38" spans="1:3">
      <c r="A38" s="10" t="s">
        <v>279</v>
      </c>
    </row>
    <row r="39" spans="1:3">
      <c r="A39" s="10" t="s">
        <v>280</v>
      </c>
    </row>
    <row r="43" spans="1:3">
      <c r="C43" s="10">
        <v>13.24594307263356</v>
      </c>
    </row>
  </sheetData>
  <mergeCells count="30">
    <mergeCell ref="W23:Z23"/>
    <mergeCell ref="A23:B24"/>
    <mergeCell ref="C23:F23"/>
    <mergeCell ref="G23:J23"/>
    <mergeCell ref="K23:N23"/>
    <mergeCell ref="O23:R23"/>
    <mergeCell ref="S23:V23"/>
    <mergeCell ref="W9:Z9"/>
    <mergeCell ref="A16:Z16"/>
    <mergeCell ref="A17:B18"/>
    <mergeCell ref="C17:F17"/>
    <mergeCell ref="G17:J17"/>
    <mergeCell ref="K17:N17"/>
    <mergeCell ref="O17:R17"/>
    <mergeCell ref="S17:V17"/>
    <mergeCell ref="W17:Z17"/>
    <mergeCell ref="A9:B10"/>
    <mergeCell ref="C9:F9"/>
    <mergeCell ref="G9:J9"/>
    <mergeCell ref="K9:N9"/>
    <mergeCell ref="O9:R9"/>
    <mergeCell ref="S9:V9"/>
    <mergeCell ref="A2:Z2"/>
    <mergeCell ref="A3:B4"/>
    <mergeCell ref="C3:F3"/>
    <mergeCell ref="G3:J3"/>
    <mergeCell ref="K3:N3"/>
    <mergeCell ref="O3:R3"/>
    <mergeCell ref="S3:V3"/>
    <mergeCell ref="W3:Z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1"/>
  <sheetViews>
    <sheetView zoomScale="80" zoomScaleNormal="80" workbookViewId="0">
      <selection activeCell="A2" sqref="A2:XFD14"/>
    </sheetView>
  </sheetViews>
  <sheetFormatPr defaultRowHeight="12"/>
  <cols>
    <col min="1" max="1" width="11.140625" style="10" customWidth="1"/>
    <col min="2" max="2" width="10.140625" style="10" customWidth="1"/>
    <col min="3" max="26" width="11" style="10" bestFit="1" customWidth="1"/>
    <col min="27" max="16384" width="9.140625" style="10"/>
  </cols>
  <sheetData>
    <row r="2" spans="1:26" s="7" customFormat="1" ht="19.5" customHeight="1">
      <c r="A2" s="773" t="s">
        <v>31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26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6">
      <c r="A4" s="791"/>
      <c r="B4" s="792"/>
      <c r="C4" s="650" t="s">
        <v>2</v>
      </c>
      <c r="D4" s="650" t="s">
        <v>3</v>
      </c>
      <c r="E4" s="650" t="s">
        <v>4</v>
      </c>
      <c r="F4" s="650" t="s">
        <v>5</v>
      </c>
      <c r="G4" s="650" t="s">
        <v>2</v>
      </c>
      <c r="H4" s="650" t="s">
        <v>3</v>
      </c>
      <c r="I4" s="650" t="s">
        <v>4</v>
      </c>
      <c r="J4" s="650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6" ht="24">
      <c r="A5" s="14" t="s">
        <v>6</v>
      </c>
      <c r="B5" s="15" t="s">
        <v>7</v>
      </c>
      <c r="C5" s="16">
        <f>факт2015!C5-'прогноз 2015'!C5</f>
        <v>304.04999999999995</v>
      </c>
      <c r="D5" s="16">
        <f>факт2015!D5-'прогноз 2015'!D5</f>
        <v>272.47999999999979</v>
      </c>
      <c r="E5" s="16">
        <f>факт2015!E5-'прогноз 2015'!E5</f>
        <v>255.90999999999985</v>
      </c>
      <c r="F5" s="16">
        <f>факт2015!F5-'прогноз 2015'!F5</f>
        <v>241.7199999999998</v>
      </c>
      <c r="G5" s="16">
        <f>факт2015!G5-'прогноз 2015'!G5</f>
        <v>1006.3200000000002</v>
      </c>
      <c r="H5" s="16">
        <f>факт2015!H5-'прогноз 2015'!H5</f>
        <v>974.76000000000045</v>
      </c>
      <c r="I5" s="16">
        <f>факт2015!I5-'прогноз 2015'!I5</f>
        <v>958.18000000000029</v>
      </c>
      <c r="J5" s="16">
        <f>факт2015!J5-'прогноз 2015'!J5</f>
        <v>943.99000000000024</v>
      </c>
      <c r="K5" s="16">
        <f>факт2015!K5-'прогноз 2015'!K5</f>
        <v>739.23999999999978</v>
      </c>
      <c r="L5" s="16">
        <f>факт2015!L5-'прогноз 2015'!L5</f>
        <v>707.67000000000007</v>
      </c>
      <c r="M5" s="16">
        <f>факт2015!M5-'прогноз 2015'!M5</f>
        <v>691.09999999999991</v>
      </c>
      <c r="N5" s="16">
        <f>факт2015!N5-'прогноз 2015'!N5</f>
        <v>676.91000000000031</v>
      </c>
      <c r="O5" s="16">
        <f>факт2015!O5-'прогноз 2015'!O5</f>
        <v>586.58999999999992</v>
      </c>
      <c r="P5" s="16">
        <f>факт2015!P5-'прогноз 2015'!P5</f>
        <v>555.02000000000021</v>
      </c>
      <c r="Q5" s="16">
        <f>факт2015!Q5-'прогноз 2015'!Q5</f>
        <v>538.45000000000005</v>
      </c>
      <c r="R5" s="16">
        <f>факт2015!R5-'прогноз 2015'!R5</f>
        <v>524.25999999999976</v>
      </c>
      <c r="S5" s="16">
        <f>факт2015!S5-'прогноз 2015'!S5</f>
        <v>531.69000000000005</v>
      </c>
      <c r="T5" s="16">
        <f>факт2015!T5-'прогноз 2015'!T5</f>
        <v>500.13000000000034</v>
      </c>
      <c r="U5" s="16">
        <f>факт2015!U5-'прогноз 2015'!U5</f>
        <v>483.55000000000018</v>
      </c>
      <c r="V5" s="16">
        <f>факт2015!V5-'прогноз 2015'!V5</f>
        <v>469.37000000000012</v>
      </c>
      <c r="W5" s="16">
        <f>факт2015!W5-'прогноз 2015'!W5</f>
        <v>269.62000000000012</v>
      </c>
      <c r="X5" s="16">
        <f>факт2015!X5-'прогноз 2015'!X5</f>
        <v>238.06000000000017</v>
      </c>
      <c r="Y5" s="16">
        <f>факт2015!Y5-'прогноз 2015'!Y5</f>
        <v>221.48000000000002</v>
      </c>
      <c r="Z5" s="16">
        <f>факт2015!Z5-'прогноз 2015'!Z5</f>
        <v>207.29999999999995</v>
      </c>
    </row>
    <row r="6" spans="1:26" ht="24">
      <c r="A6" s="14" t="s">
        <v>8</v>
      </c>
      <c r="B6" s="15" t="s">
        <v>7</v>
      </c>
      <c r="C6" s="16">
        <f>факт2015!C6-'прогноз 2015'!C6</f>
        <v>294.67000000000007</v>
      </c>
      <c r="D6" s="16">
        <f>факт2015!D6-'прогноз 2015'!D6</f>
        <v>263.1099999999999</v>
      </c>
      <c r="E6" s="16">
        <f>факт2015!E6-'прогноз 2015'!E6</f>
        <v>246.53999999999996</v>
      </c>
      <c r="F6" s="16">
        <f>факт2015!F6-'прогноз 2015'!F6</f>
        <v>232.34999999999991</v>
      </c>
      <c r="G6" s="16">
        <f>факт2015!G6-'прогноз 2015'!G6</f>
        <v>991</v>
      </c>
      <c r="H6" s="16">
        <f>факт2015!H6-'прогноз 2015'!H6</f>
        <v>959.44000000000028</v>
      </c>
      <c r="I6" s="16">
        <f>факт2015!I6-'прогноз 2015'!I6</f>
        <v>942.86000000000013</v>
      </c>
      <c r="J6" s="16">
        <f>факт2015!J6-'прогноз 2015'!J6</f>
        <v>928.67999999999984</v>
      </c>
      <c r="K6" s="16">
        <f>факт2015!K6-'прогноз 2015'!K6</f>
        <v>726.87000000000012</v>
      </c>
      <c r="L6" s="16">
        <f>факт2015!L6-'прогноз 2015'!L6</f>
        <v>695.3</v>
      </c>
      <c r="M6" s="16">
        <f>факт2015!M6-'прогноз 2015'!M6</f>
        <v>678.72999999999979</v>
      </c>
      <c r="N6" s="16">
        <f>факт2015!N6-'прогноз 2015'!N6</f>
        <v>664.54000000000019</v>
      </c>
      <c r="O6" s="16">
        <f>факт2015!O6-'прогноз 2015'!O6</f>
        <v>575.02</v>
      </c>
      <c r="P6" s="16">
        <f>факт2015!P6-'прогноз 2015'!P6</f>
        <v>543.45000000000005</v>
      </c>
      <c r="Q6" s="16">
        <f>факт2015!Q6-'прогноз 2015'!Q6</f>
        <v>526.88000000000011</v>
      </c>
      <c r="R6" s="16">
        <f>факт2015!R6-'прогноз 2015'!R6</f>
        <v>512.69000000000005</v>
      </c>
      <c r="S6" s="16">
        <f>факт2015!S6-'прогноз 2015'!S6</f>
        <v>522.05999999999995</v>
      </c>
      <c r="T6" s="16">
        <f>факт2015!T6-'прогноз 2015'!T6</f>
        <v>490.5</v>
      </c>
      <c r="U6" s="16">
        <f>факт2015!U6-'прогноз 2015'!U6</f>
        <v>473.92999999999984</v>
      </c>
      <c r="V6" s="16">
        <f>факт2015!V6-'прогноз 2015'!V6</f>
        <v>459.73999999999978</v>
      </c>
      <c r="W6" s="16">
        <f>факт2015!W6-'прогноз 2015'!W6</f>
        <v>263.08999999999992</v>
      </c>
      <c r="X6" s="16">
        <f>факт2015!X6-'прогноз 2015'!X6</f>
        <v>231.5300000000002</v>
      </c>
      <c r="Y6" s="16">
        <f>факт2015!Y6-'прогноз 2015'!Y6</f>
        <v>214.95000000000027</v>
      </c>
      <c r="Z6" s="16">
        <f>факт2015!Z6-'прогноз 2015'!Z6</f>
        <v>200.76</v>
      </c>
    </row>
    <row r="7" spans="1:26" ht="24">
      <c r="A7" s="14" t="s">
        <v>9</v>
      </c>
      <c r="B7" s="15" t="s">
        <v>7</v>
      </c>
      <c r="C7" s="16">
        <f>факт2015!C7-'прогноз 2015'!C7</f>
        <v>238.12999999999988</v>
      </c>
      <c r="D7" s="16">
        <f>факт2015!D7-'прогноз 2015'!D7</f>
        <v>206.55999999999972</v>
      </c>
      <c r="E7" s="16">
        <f>факт2015!E7-'прогноз 2015'!E7</f>
        <v>189.98999999999978</v>
      </c>
      <c r="F7" s="16">
        <f>факт2015!F7-'прогноз 2015'!F7</f>
        <v>175.79999999999973</v>
      </c>
      <c r="G7" s="16">
        <f>факт2015!G7-'прогноз 2015'!G7</f>
        <v>899.25999999999976</v>
      </c>
      <c r="H7" s="16">
        <f>факт2015!H7-'прогноз 2015'!H7</f>
        <v>867.69000000000028</v>
      </c>
      <c r="I7" s="16">
        <f>факт2015!I7-'прогноз 2015'!I7</f>
        <v>851.12000000000035</v>
      </c>
      <c r="J7" s="16">
        <f>факт2015!J7-'прогноз 2015'!J7</f>
        <v>836.93000000000029</v>
      </c>
      <c r="K7" s="16">
        <f>факт2015!K7-'прогноз 2015'!K7</f>
        <v>652.72</v>
      </c>
      <c r="L7" s="16">
        <f>факт2015!L7-'прогноз 2015'!L7</f>
        <v>621.16000000000031</v>
      </c>
      <c r="M7" s="16">
        <f>факт2015!M7-'прогноз 2015'!M7</f>
        <v>604.58000000000015</v>
      </c>
      <c r="N7" s="16">
        <f>факт2015!N7-'прогноз 2015'!N7</f>
        <v>590.40000000000055</v>
      </c>
      <c r="O7" s="16">
        <f>факт2015!O7-'прогноз 2015'!O7</f>
        <v>505.57999999999993</v>
      </c>
      <c r="P7" s="16">
        <f>факт2015!P7-'прогноз 2015'!P7</f>
        <v>474.02</v>
      </c>
      <c r="Q7" s="16">
        <f>факт2015!Q7-'прогноз 2015'!Q7</f>
        <v>457.44000000000005</v>
      </c>
      <c r="R7" s="16">
        <f>факт2015!R7-'прогноз 2015'!R7</f>
        <v>443.25999999999976</v>
      </c>
      <c r="S7" s="16">
        <f>факт2015!S7-'прогноз 2015'!S7</f>
        <v>464.2800000000002</v>
      </c>
      <c r="T7" s="16">
        <f>факт2015!T7-'прогноз 2015'!T7</f>
        <v>432.72000000000025</v>
      </c>
      <c r="U7" s="16">
        <f>факт2015!U7-'прогноз 2015'!U7</f>
        <v>416.14000000000033</v>
      </c>
      <c r="V7" s="16">
        <f>факт2015!V7-'прогноз 2015'!V7</f>
        <v>401.96000000000026</v>
      </c>
      <c r="W7" s="16">
        <f>факт2015!W7-'прогноз 2015'!W7</f>
        <v>223.76000000000022</v>
      </c>
      <c r="X7" s="16">
        <f>факт2015!X7-'прогноз 2015'!X7</f>
        <v>192.19000000000028</v>
      </c>
      <c r="Y7" s="16">
        <f>факт2015!Y7-'прогноз 2015'!Y7</f>
        <v>175.62000000000012</v>
      </c>
      <c r="Z7" s="16">
        <f>факт2015!Z7-'прогноз 2015'!Z7</f>
        <v>161.43000000000006</v>
      </c>
    </row>
    <row r="8" spans="1:26" ht="24">
      <c r="A8" s="14" t="s">
        <v>10</v>
      </c>
      <c r="B8" s="15" t="s">
        <v>7</v>
      </c>
      <c r="C8" s="16">
        <f>факт2015!C8-'прогноз 2015'!C8</f>
        <v>192.62000000000012</v>
      </c>
      <c r="D8" s="16">
        <f>факт2015!D8-'прогноз 2015'!D8</f>
        <v>161.05999999999949</v>
      </c>
      <c r="E8" s="16">
        <f>факт2015!E8-'прогноз 2015'!E8</f>
        <v>144.48000000000002</v>
      </c>
      <c r="F8" s="16">
        <f>факт2015!F8-'прогноз 2015'!F8</f>
        <v>130.29999999999973</v>
      </c>
      <c r="G8" s="16">
        <f>факт2015!G8-'прогноз 2015'!G8</f>
        <v>825.31</v>
      </c>
      <c r="H8" s="16">
        <f>факт2015!H8-'прогноз 2015'!H8</f>
        <v>793.75</v>
      </c>
      <c r="I8" s="16">
        <f>факт2015!I8-'прогноз 2015'!I8</f>
        <v>777.18000000000006</v>
      </c>
      <c r="J8" s="16">
        <f>факт2015!J8-'прогноз 2015'!J8</f>
        <v>762.98999999999978</v>
      </c>
      <c r="K8" s="16">
        <f>факт2015!K8-'прогноз 2015'!K8</f>
        <v>592.97000000000025</v>
      </c>
      <c r="L8" s="16">
        <f>факт2015!L8-'прогноз 2015'!L8</f>
        <v>561.41000000000031</v>
      </c>
      <c r="M8" s="16">
        <f>факт2015!M8-'прогноз 2015'!M8</f>
        <v>544.84000000000015</v>
      </c>
      <c r="N8" s="16">
        <f>факт2015!N8-'прогноз 2015'!N8</f>
        <v>530.65000000000055</v>
      </c>
      <c r="O8" s="16">
        <f>факт2015!O8-'прогноз 2015'!O8</f>
        <v>449.64999999999986</v>
      </c>
      <c r="P8" s="16">
        <f>факт2015!P8-'прогноз 2015'!P8</f>
        <v>418.08000000000015</v>
      </c>
      <c r="Q8" s="16">
        <f>факт2015!Q8-'прогноз 2015'!Q8</f>
        <v>401.51</v>
      </c>
      <c r="R8" s="16">
        <f>факт2015!R8-'прогноз 2015'!R8</f>
        <v>387.32000000000016</v>
      </c>
      <c r="S8" s="16">
        <f>факт2015!S8-'прогноз 2015'!S8</f>
        <v>417.73999999999978</v>
      </c>
      <c r="T8" s="16">
        <f>факт2015!T8-'прогноз 2015'!T8</f>
        <v>386.17000000000007</v>
      </c>
      <c r="U8" s="16">
        <f>факт2015!U8-'прогноз 2015'!U8</f>
        <v>369.59999999999991</v>
      </c>
      <c r="V8" s="16">
        <f>факт2015!V8-'прогноз 2015'!V8</f>
        <v>355.41000000000008</v>
      </c>
      <c r="W8" s="16">
        <f>факт2015!W8-'прогноз 2015'!W8</f>
        <v>192.06999999999994</v>
      </c>
      <c r="X8" s="16">
        <f>факт2015!X8-'прогноз 2015'!X8</f>
        <v>160.51000000000022</v>
      </c>
      <c r="Y8" s="16">
        <f>факт2015!Y8-'прогноз 2015'!Y8</f>
        <v>143.94000000000005</v>
      </c>
      <c r="Z8" s="16">
        <f>факт2015!Z8-'прогноз 2015'!Z8</f>
        <v>129.75</v>
      </c>
    </row>
    <row r="9" spans="1:26" ht="15.75" customHeight="1">
      <c r="A9" s="788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6">
        <v>41944</v>
      </c>
      <c r="T9" s="796"/>
      <c r="U9" s="796"/>
      <c r="V9" s="796"/>
      <c r="W9" s="796">
        <v>41974</v>
      </c>
      <c r="X9" s="796"/>
      <c r="Y9" s="796"/>
      <c r="Z9" s="796"/>
    </row>
    <row r="10" spans="1:26">
      <c r="A10" s="791"/>
      <c r="B10" s="792"/>
      <c r="C10" s="650" t="s">
        <v>2</v>
      </c>
      <c r="D10" s="650" t="s">
        <v>3</v>
      </c>
      <c r="E10" s="650" t="s">
        <v>4</v>
      </c>
      <c r="F10" s="650" t="s">
        <v>5</v>
      </c>
      <c r="G10" s="650" t="s">
        <v>2</v>
      </c>
      <c r="H10" s="650" t="s">
        <v>3</v>
      </c>
      <c r="I10" s="650" t="s">
        <v>4</v>
      </c>
      <c r="J10" s="650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13" t="s">
        <v>5</v>
      </c>
    </row>
    <row r="11" spans="1:26" ht="24">
      <c r="A11" s="14" t="s">
        <v>6</v>
      </c>
      <c r="B11" s="15" t="s">
        <v>7</v>
      </c>
      <c r="C11" s="16">
        <f>факт2015!C11-'прогноз 2015'!C11</f>
        <v>405.14999999999986</v>
      </c>
      <c r="D11" s="16">
        <f>факт2015!D11-'прогноз 2015'!D11</f>
        <v>422.99</v>
      </c>
      <c r="E11" s="16">
        <f>факт2015!E11-'прогноз 2015'!E11</f>
        <v>432.36000000000013</v>
      </c>
      <c r="F11" s="16">
        <f>факт2015!F11-'прогноз 2015'!F11</f>
        <v>440.36999999999989</v>
      </c>
      <c r="G11" s="16">
        <f>факт2015!G11-'прогноз 2015'!G11</f>
        <v>221.8900000000001</v>
      </c>
      <c r="H11" s="16">
        <f>факт2015!H11-'прогноз 2015'!H11</f>
        <v>239.74000000000024</v>
      </c>
      <c r="I11" s="16">
        <f>факт2015!I11-'прогноз 2015'!I11</f>
        <v>249.10000000000014</v>
      </c>
      <c r="J11" s="16">
        <f>факт2015!J11-'прогноз 2015'!J11</f>
        <v>257.11000000000013</v>
      </c>
      <c r="K11" s="16">
        <f>факт2015!K11-'прогноз 2015'!K11</f>
        <v>391.35000000000014</v>
      </c>
      <c r="L11" s="16">
        <f>факт2015!L11-'прогноз 2015'!L11</f>
        <v>409.19999999999982</v>
      </c>
      <c r="M11" s="16">
        <f>факт2015!M11-'прогноз 2015'!M11</f>
        <v>418.55999999999972</v>
      </c>
      <c r="N11" s="16">
        <f>факт2015!N11-'прогноз 2015'!N11</f>
        <v>426.57999999999993</v>
      </c>
      <c r="O11" s="16">
        <f>факт2015!O11-'прогноз 2015'!O11</f>
        <v>563.74</v>
      </c>
      <c r="P11" s="16">
        <f>факт2015!P11-'прогноз 2015'!P11</f>
        <v>581.57999999999993</v>
      </c>
      <c r="Q11" s="16">
        <f>факт2015!Q11-'прогноз 2015'!Q11</f>
        <v>590.95000000000005</v>
      </c>
      <c r="R11" s="16">
        <f>факт2015!R11-'прогноз 2015'!R11</f>
        <v>598.95999999999958</v>
      </c>
      <c r="S11" s="16">
        <f>факт2015!S11-'прогноз 2015'!S11</f>
        <v>519.75</v>
      </c>
      <c r="T11" s="16">
        <f>факт2015!T11-'прогноз 2015'!T11</f>
        <v>537.60000000000014</v>
      </c>
      <c r="U11" s="16">
        <f>факт2015!U11-'прогноз 2015'!U11</f>
        <v>546.96</v>
      </c>
      <c r="V11" s="16">
        <f>факт2015!V11-'прогноз 2015'!V11</f>
        <v>554.9699999999998</v>
      </c>
      <c r="W11" s="16">
        <f>факт2015!W11-'прогноз 2015'!W11</f>
        <v>312.19999999999982</v>
      </c>
      <c r="X11" s="16">
        <f>факт2015!X11-'прогноз 2015'!X11</f>
        <v>330.05000000000018</v>
      </c>
      <c r="Y11" s="16">
        <f>факт2015!Y11-'прогноз 2015'!Y11</f>
        <v>339.40999999999985</v>
      </c>
      <c r="Z11" s="16">
        <f>факт2015!Z11-'прогноз 2015'!Z11</f>
        <v>347.43000000000029</v>
      </c>
    </row>
    <row r="12" spans="1:26" ht="24">
      <c r="A12" s="14" t="s">
        <v>8</v>
      </c>
      <c r="B12" s="15" t="s">
        <v>7</v>
      </c>
      <c r="C12" s="16">
        <f>факт2015!C12-'прогноз 2015'!C12</f>
        <v>409.67000000000007</v>
      </c>
      <c r="D12" s="16">
        <f>факт2015!D12-'прогноз 2015'!D12</f>
        <v>427.52000000000021</v>
      </c>
      <c r="E12" s="16">
        <f>факт2015!E12-'прогноз 2015'!E12</f>
        <v>436.88000000000034</v>
      </c>
      <c r="F12" s="16">
        <f>факт2015!F12-'прогноз 2015'!F12</f>
        <v>444.8900000000001</v>
      </c>
      <c r="G12" s="16">
        <f>факт2015!G12-'прогноз 2015'!G12</f>
        <v>229.12000000000012</v>
      </c>
      <c r="H12" s="16">
        <f>факт2015!H12-'прогноз 2015'!H12</f>
        <v>246.97000000000025</v>
      </c>
      <c r="I12" s="16">
        <f>факт2015!I12-'прогноз 2015'!I12</f>
        <v>256.33000000000015</v>
      </c>
      <c r="J12" s="16">
        <f>факт2015!J12-'прогноз 2015'!J12</f>
        <v>264.35000000000036</v>
      </c>
      <c r="K12" s="16">
        <f>факт2015!K12-'прогноз 2015'!K12</f>
        <v>392.95000000000005</v>
      </c>
      <c r="L12" s="16">
        <f>факт2015!L12-'прогноз 2015'!L12</f>
        <v>410.79999999999995</v>
      </c>
      <c r="M12" s="16">
        <f>факт2015!M12-'прогноз 2015'!M12</f>
        <v>420.15999999999985</v>
      </c>
      <c r="N12" s="16">
        <f>факт2015!N12-'прогноз 2015'!N12</f>
        <v>428.18000000000006</v>
      </c>
      <c r="O12" s="16">
        <f>факт2015!O12-'прогноз 2015'!O12</f>
        <v>564.6400000000001</v>
      </c>
      <c r="P12" s="16">
        <f>факт2015!P12-'прогноз 2015'!P12</f>
        <v>582.48999999999978</v>
      </c>
      <c r="Q12" s="16">
        <f>факт2015!Q12-'прогноз 2015'!Q12</f>
        <v>591.85999999999967</v>
      </c>
      <c r="R12" s="16">
        <f>факт2015!R12-'прогноз 2015'!R12</f>
        <v>599.86999999999944</v>
      </c>
      <c r="S12" s="16">
        <f>факт2015!S12-'прогноз 2015'!S12</f>
        <v>521.70000000000005</v>
      </c>
      <c r="T12" s="16">
        <f>факт2015!T12-'прогноз 2015'!T12</f>
        <v>539.54999999999973</v>
      </c>
      <c r="U12" s="16">
        <f>факт2015!U12-'прогноз 2015'!U12</f>
        <v>548.91000000000031</v>
      </c>
      <c r="V12" s="16">
        <f>факт2015!V12-'прогноз 2015'!V12</f>
        <v>556.92000000000007</v>
      </c>
      <c r="W12" s="16">
        <f>факт2015!W12-'прогноз 2015'!W12</f>
        <v>314.92999999999984</v>
      </c>
      <c r="X12" s="16">
        <f>факт2015!X12-'прогноз 2015'!X12</f>
        <v>332.7800000000002</v>
      </c>
      <c r="Y12" s="16">
        <f>факт2015!Y12-'прогноз 2015'!Y12</f>
        <v>342.13999999999987</v>
      </c>
      <c r="Z12" s="16">
        <f>факт2015!Z12-'прогноз 2015'!Z12</f>
        <v>350.16000000000031</v>
      </c>
    </row>
    <row r="13" spans="1:26" ht="24">
      <c r="A13" s="14" t="s">
        <v>9</v>
      </c>
      <c r="B13" s="15" t="s">
        <v>7</v>
      </c>
      <c r="C13" s="16">
        <f>факт2015!C13-'прогноз 2015'!C13</f>
        <v>436.86000000000013</v>
      </c>
      <c r="D13" s="16">
        <f>факт2015!D13-'прогноз 2015'!D13</f>
        <v>454.71000000000004</v>
      </c>
      <c r="E13" s="16">
        <f>факт2015!E13-'прогноз 2015'!E13</f>
        <v>464.08000000000015</v>
      </c>
      <c r="F13" s="16">
        <f>факт2015!F13-'прогноз 2015'!F13</f>
        <v>472.08999999999992</v>
      </c>
      <c r="G13" s="16">
        <f>факт2015!G13-'прогноз 2015'!G13</f>
        <v>272.52000000000021</v>
      </c>
      <c r="H13" s="16">
        <f>факт2015!H13-'прогноз 2015'!H13</f>
        <v>290.36000000000035</v>
      </c>
      <c r="I13" s="16">
        <f>факт2015!I13-'прогноз 2015'!I13</f>
        <v>299.73</v>
      </c>
      <c r="J13" s="16">
        <f>факт2015!J13-'прогноз 2015'!J13</f>
        <v>307.74000000000024</v>
      </c>
      <c r="K13" s="16">
        <f>факт2015!K13-'прогноз 2015'!K13</f>
        <v>401.97</v>
      </c>
      <c r="L13" s="16">
        <f>факт2015!L13-'прогноз 2015'!L13</f>
        <v>419.82000000000016</v>
      </c>
      <c r="M13" s="16">
        <f>факт2015!M13-'прогноз 2015'!M13</f>
        <v>429.19000000000005</v>
      </c>
      <c r="N13" s="16">
        <f>факт2015!N13-'прогноз 2015'!N13</f>
        <v>437.20000000000027</v>
      </c>
      <c r="O13" s="16">
        <f>факт2015!O13-'прогноз 2015'!O13</f>
        <v>569.70000000000005</v>
      </c>
      <c r="P13" s="16">
        <f>факт2015!P13-'прогноз 2015'!P13</f>
        <v>587.53999999999974</v>
      </c>
      <c r="Q13" s="16">
        <f>факт2015!Q13-'прогноз 2015'!Q13</f>
        <v>596.90999999999963</v>
      </c>
      <c r="R13" s="16">
        <f>факт2015!R13-'прогноз 2015'!R13</f>
        <v>604.91999999999939</v>
      </c>
      <c r="S13" s="16">
        <f>факт2015!S13-'прогноз 2015'!S13</f>
        <v>532.73</v>
      </c>
      <c r="T13" s="16">
        <f>факт2015!T13-'прогноз 2015'!T13</f>
        <v>550.57000000000016</v>
      </c>
      <c r="U13" s="16">
        <f>факт2015!U13-'прогноз 2015'!U13</f>
        <v>559.94000000000005</v>
      </c>
      <c r="V13" s="16">
        <f>факт2015!V13-'прогноз 2015'!V13</f>
        <v>567.94999999999982</v>
      </c>
      <c r="W13" s="16">
        <f>факт2015!W13-'прогноз 2015'!W13</f>
        <v>330.45999999999981</v>
      </c>
      <c r="X13" s="16">
        <f>факт2015!X13-'прогноз 2015'!X13</f>
        <v>348.30999999999995</v>
      </c>
      <c r="Y13" s="16">
        <f>факт2015!Y13-'прогноз 2015'!Y13</f>
        <v>357.67999999999984</v>
      </c>
      <c r="Z13" s="16">
        <f>факт2015!Z13-'прогноз 2015'!Z13</f>
        <v>365.69000000000005</v>
      </c>
    </row>
    <row r="14" spans="1:26" ht="24">
      <c r="A14" s="14" t="s">
        <v>10</v>
      </c>
      <c r="B14" s="15" t="s">
        <v>7</v>
      </c>
      <c r="C14" s="16">
        <f>факт2015!C14-'прогноз 2015'!C14</f>
        <v>458.73000000000025</v>
      </c>
      <c r="D14" s="16">
        <f>факт2015!D14-'прогноз 2015'!D14</f>
        <v>476.57000000000016</v>
      </c>
      <c r="E14" s="16">
        <f>факт2015!E14-'прогноз 2015'!E14</f>
        <v>485.94000000000028</v>
      </c>
      <c r="F14" s="16">
        <f>факт2015!F14-'прогноз 2015'!F14</f>
        <v>493.95000000000005</v>
      </c>
      <c r="G14" s="16">
        <f>факт2015!G14-'прогноз 2015'!G14</f>
        <v>307.43000000000006</v>
      </c>
      <c r="H14" s="16">
        <f>факт2015!H14-'прогноз 2015'!H14</f>
        <v>325.27000000000021</v>
      </c>
      <c r="I14" s="16">
        <f>факт2015!I14-'прогноз 2015'!I14</f>
        <v>334.6400000000001</v>
      </c>
      <c r="J14" s="16">
        <f>факт2015!J14-'прогноз 2015'!J14</f>
        <v>342.65000000000032</v>
      </c>
      <c r="K14" s="16">
        <f>факт2015!K14-'прогноз 2015'!K14</f>
        <v>409.29999999999995</v>
      </c>
      <c r="L14" s="16">
        <f>факт2015!L14-'прогноз 2015'!L14</f>
        <v>427.15000000000009</v>
      </c>
      <c r="M14" s="16">
        <f>факт2015!M14-'прогноз 2015'!M14</f>
        <v>436.51</v>
      </c>
      <c r="N14" s="16">
        <f>факт2015!N14-'прогноз 2015'!N14</f>
        <v>444.5300000000002</v>
      </c>
      <c r="O14" s="16">
        <f>факт2015!O14-'прогноз 2015'!O14</f>
        <v>573.79</v>
      </c>
      <c r="P14" s="16">
        <f>факт2015!P14-'прогноз 2015'!P14</f>
        <v>591.63999999999987</v>
      </c>
      <c r="Q14" s="16">
        <f>факт2015!Q14-'прогноз 2015'!Q14</f>
        <v>600.99999999999977</v>
      </c>
      <c r="R14" s="16">
        <f>факт2015!R14-'прогноз 2015'!R14</f>
        <v>609.01999999999953</v>
      </c>
      <c r="S14" s="16">
        <f>факт2015!S14-'прогноз 2015'!S14</f>
        <v>541.67000000000007</v>
      </c>
      <c r="T14" s="16">
        <f>факт2015!T14-'прогноз 2015'!T14</f>
        <v>559.51999999999975</v>
      </c>
      <c r="U14" s="16">
        <f>факт2015!U14-'прогноз 2015'!U14</f>
        <v>568.89000000000033</v>
      </c>
      <c r="V14" s="16">
        <f>факт2015!V14-'прогноз 2015'!V14</f>
        <v>576.90000000000009</v>
      </c>
      <c r="W14" s="16">
        <f>факт2015!W14-'прогноз 2015'!W14</f>
        <v>343.06999999999994</v>
      </c>
      <c r="X14" s="16">
        <f>факт2015!X14-'прогноз 2015'!X14</f>
        <v>360.92000000000007</v>
      </c>
      <c r="Y14" s="16">
        <f>факт2015!Y14-'прогноз 2015'!Y14</f>
        <v>370.2800000000002</v>
      </c>
      <c r="Z14" s="16">
        <f>факт2015!Z14-'прогноз 2015'!Z14</f>
        <v>378.28999999999996</v>
      </c>
    </row>
    <row r="16" spans="1:26" ht="57" hidden="1" customHeight="1">
      <c r="A16" s="773" t="s">
        <v>29</v>
      </c>
      <c r="B16" s="774"/>
      <c r="C16" s="774"/>
      <c r="D16" s="774"/>
      <c r="E16" s="774"/>
      <c r="F16" s="774"/>
      <c r="G16" s="774"/>
      <c r="H16" s="774"/>
      <c r="I16" s="774"/>
      <c r="J16" s="774"/>
      <c r="K16" s="774"/>
      <c r="L16" s="774"/>
      <c r="M16" s="774"/>
      <c r="N16" s="774"/>
      <c r="O16" s="774"/>
      <c r="P16" s="774"/>
      <c r="Q16" s="774"/>
      <c r="R16" s="774"/>
      <c r="S16" s="774"/>
      <c r="T16" s="774"/>
      <c r="U16" s="774"/>
      <c r="V16" s="774"/>
      <c r="W16" s="774"/>
      <c r="X16" s="774"/>
      <c r="Y16" s="774"/>
      <c r="Z16" s="774"/>
    </row>
    <row r="17" spans="1:26" ht="15" hidden="1" customHeight="1">
      <c r="A17" s="788" t="s">
        <v>26</v>
      </c>
      <c r="B17" s="790"/>
      <c r="C17" s="793" t="s">
        <v>11</v>
      </c>
      <c r="D17" s="793"/>
      <c r="E17" s="793"/>
      <c r="F17" s="793"/>
      <c r="G17" s="793" t="s">
        <v>12</v>
      </c>
      <c r="H17" s="793"/>
      <c r="I17" s="793"/>
      <c r="J17" s="793"/>
      <c r="K17" s="788" t="s">
        <v>13</v>
      </c>
      <c r="L17" s="789"/>
      <c r="M17" s="789"/>
      <c r="N17" s="790"/>
      <c r="O17" s="788" t="s">
        <v>14</v>
      </c>
      <c r="P17" s="789"/>
      <c r="Q17" s="789"/>
      <c r="R17" s="790"/>
      <c r="S17" s="788" t="s">
        <v>15</v>
      </c>
      <c r="T17" s="789"/>
      <c r="U17" s="789"/>
      <c r="V17" s="790"/>
      <c r="W17" s="788" t="s">
        <v>16</v>
      </c>
      <c r="X17" s="789"/>
      <c r="Y17" s="789"/>
      <c r="Z17" s="790"/>
    </row>
    <row r="18" spans="1:26" hidden="1">
      <c r="A18" s="791"/>
      <c r="B18" s="792"/>
      <c r="C18" s="650" t="s">
        <v>2</v>
      </c>
      <c r="D18" s="650" t="s">
        <v>3</v>
      </c>
      <c r="E18" s="650" t="s">
        <v>4</v>
      </c>
      <c r="F18" s="650" t="s">
        <v>5</v>
      </c>
      <c r="G18" s="650" t="s">
        <v>2</v>
      </c>
      <c r="H18" s="650" t="s">
        <v>3</v>
      </c>
      <c r="I18" s="650" t="s">
        <v>4</v>
      </c>
      <c r="J18" s="650" t="s">
        <v>5</v>
      </c>
      <c r="K18" s="12" t="s">
        <v>2</v>
      </c>
      <c r="L18" s="12" t="s">
        <v>3</v>
      </c>
      <c r="M18" s="12" t="s">
        <v>4</v>
      </c>
      <c r="N18" s="12" t="s">
        <v>5</v>
      </c>
      <c r="O18" s="13" t="s">
        <v>2</v>
      </c>
      <c r="P18" s="13" t="s">
        <v>3</v>
      </c>
      <c r="Q18" s="13" t="s">
        <v>4</v>
      </c>
      <c r="R18" s="13" t="s">
        <v>5</v>
      </c>
      <c r="S18" s="12" t="s">
        <v>2</v>
      </c>
      <c r="T18" s="12" t="s">
        <v>3</v>
      </c>
      <c r="U18" s="12" t="s">
        <v>4</v>
      </c>
      <c r="V18" s="12" t="s">
        <v>5</v>
      </c>
      <c r="W18" s="13" t="s">
        <v>2</v>
      </c>
      <c r="X18" s="13" t="s">
        <v>3</v>
      </c>
      <c r="Y18" s="13" t="s">
        <v>4</v>
      </c>
      <c r="Z18" s="13" t="s">
        <v>5</v>
      </c>
    </row>
    <row r="19" spans="1:26" ht="24" hidden="1">
      <c r="A19" s="14" t="s">
        <v>6</v>
      </c>
      <c r="B19" s="15" t="s">
        <v>7</v>
      </c>
      <c r="C19" s="17">
        <f>C5*1.105</f>
        <v>335.97524999999996</v>
      </c>
      <c r="D19" s="17">
        <f t="shared" ref="D19:Z22" si="0">D5*1.105</f>
        <v>301.09039999999976</v>
      </c>
      <c r="E19" s="17">
        <f t="shared" si="0"/>
        <v>282.78054999999983</v>
      </c>
      <c r="F19" s="17">
        <f t="shared" si="0"/>
        <v>267.10059999999976</v>
      </c>
      <c r="G19" s="17">
        <f t="shared" si="0"/>
        <v>1111.9836000000003</v>
      </c>
      <c r="H19" s="17">
        <f t="shared" si="0"/>
        <v>1077.1098000000004</v>
      </c>
      <c r="I19" s="17">
        <f t="shared" si="0"/>
        <v>1058.7889000000002</v>
      </c>
      <c r="J19" s="17">
        <f t="shared" si="0"/>
        <v>1043.1089500000003</v>
      </c>
      <c r="K19" s="17">
        <f t="shared" si="0"/>
        <v>816.86019999999974</v>
      </c>
      <c r="L19" s="17">
        <f t="shared" si="0"/>
        <v>781.97535000000005</v>
      </c>
      <c r="M19" s="17">
        <f t="shared" si="0"/>
        <v>763.66549999999984</v>
      </c>
      <c r="N19" s="17">
        <f t="shared" si="0"/>
        <v>747.98555000000033</v>
      </c>
      <c r="O19" s="17">
        <f t="shared" si="0"/>
        <v>648.18194999999992</v>
      </c>
      <c r="P19" s="17">
        <f t="shared" si="0"/>
        <v>613.29710000000023</v>
      </c>
      <c r="Q19" s="17">
        <f t="shared" si="0"/>
        <v>594.98725000000002</v>
      </c>
      <c r="R19" s="17">
        <f t="shared" si="0"/>
        <v>579.30729999999971</v>
      </c>
      <c r="S19" s="17">
        <f t="shared" si="0"/>
        <v>587.51745000000005</v>
      </c>
      <c r="T19" s="17">
        <f t="shared" si="0"/>
        <v>552.64365000000032</v>
      </c>
      <c r="U19" s="17">
        <f t="shared" si="0"/>
        <v>534.32275000000016</v>
      </c>
      <c r="V19" s="17">
        <f t="shared" si="0"/>
        <v>518.65385000000015</v>
      </c>
      <c r="W19" s="17">
        <f t="shared" si="0"/>
        <v>297.93010000000015</v>
      </c>
      <c r="X19" s="17">
        <f t="shared" si="0"/>
        <v>263.05630000000019</v>
      </c>
      <c r="Y19" s="17">
        <f t="shared" si="0"/>
        <v>244.73540000000003</v>
      </c>
      <c r="Z19" s="17">
        <f t="shared" si="0"/>
        <v>229.06649999999993</v>
      </c>
    </row>
    <row r="20" spans="1:26" ht="24" hidden="1">
      <c r="A20" s="14" t="s">
        <v>8</v>
      </c>
      <c r="B20" s="15" t="s">
        <v>7</v>
      </c>
      <c r="C20" s="17">
        <f>C6*1.105</f>
        <v>325.6103500000001</v>
      </c>
      <c r="D20" s="17">
        <f t="shared" si="0"/>
        <v>290.73654999999991</v>
      </c>
      <c r="E20" s="17">
        <f t="shared" si="0"/>
        <v>272.42669999999998</v>
      </c>
      <c r="F20" s="17">
        <f t="shared" si="0"/>
        <v>256.74674999999991</v>
      </c>
      <c r="G20" s="17">
        <f t="shared" si="0"/>
        <v>1095.0550000000001</v>
      </c>
      <c r="H20" s="17">
        <f t="shared" si="0"/>
        <v>1060.1812000000002</v>
      </c>
      <c r="I20" s="17">
        <f t="shared" si="0"/>
        <v>1041.8603000000001</v>
      </c>
      <c r="J20" s="17">
        <f t="shared" si="0"/>
        <v>1026.1913999999997</v>
      </c>
      <c r="K20" s="17">
        <f t="shared" si="0"/>
        <v>803.19135000000017</v>
      </c>
      <c r="L20" s="17">
        <f t="shared" si="0"/>
        <v>768.30649999999991</v>
      </c>
      <c r="M20" s="17">
        <f t="shared" si="0"/>
        <v>749.9966499999997</v>
      </c>
      <c r="N20" s="17">
        <f t="shared" si="0"/>
        <v>734.3167000000002</v>
      </c>
      <c r="O20" s="17">
        <f t="shared" si="0"/>
        <v>635.39710000000002</v>
      </c>
      <c r="P20" s="17">
        <f t="shared" si="0"/>
        <v>600.51224999999999</v>
      </c>
      <c r="Q20" s="17">
        <f t="shared" si="0"/>
        <v>582.20240000000013</v>
      </c>
      <c r="R20" s="17">
        <f t="shared" si="0"/>
        <v>566.52245000000005</v>
      </c>
      <c r="S20" s="17">
        <f t="shared" si="0"/>
        <v>576.8762999999999</v>
      </c>
      <c r="T20" s="17">
        <f t="shared" si="0"/>
        <v>542.00249999999994</v>
      </c>
      <c r="U20" s="17">
        <f t="shared" si="0"/>
        <v>523.69264999999984</v>
      </c>
      <c r="V20" s="17">
        <f t="shared" si="0"/>
        <v>508.01269999999977</v>
      </c>
      <c r="W20" s="17">
        <f t="shared" si="0"/>
        <v>290.71444999999989</v>
      </c>
      <c r="X20" s="17">
        <f t="shared" si="0"/>
        <v>255.84065000000021</v>
      </c>
      <c r="Y20" s="17">
        <f t="shared" si="0"/>
        <v>237.5197500000003</v>
      </c>
      <c r="Z20" s="17">
        <f t="shared" si="0"/>
        <v>221.8398</v>
      </c>
    </row>
    <row r="21" spans="1:26" ht="24" hidden="1">
      <c r="A21" s="14" t="s">
        <v>9</v>
      </c>
      <c r="B21" s="15" t="s">
        <v>7</v>
      </c>
      <c r="C21" s="17">
        <f>C7*1.105</f>
        <v>263.13364999999988</v>
      </c>
      <c r="D21" s="17">
        <f t="shared" si="0"/>
        <v>228.24879999999968</v>
      </c>
      <c r="E21" s="17">
        <f t="shared" si="0"/>
        <v>209.93894999999975</v>
      </c>
      <c r="F21" s="17">
        <f t="shared" si="0"/>
        <v>194.2589999999997</v>
      </c>
      <c r="G21" s="17">
        <f t="shared" si="0"/>
        <v>993.68229999999971</v>
      </c>
      <c r="H21" s="17">
        <f t="shared" si="0"/>
        <v>958.79745000000025</v>
      </c>
      <c r="I21" s="17">
        <f t="shared" si="0"/>
        <v>940.48760000000038</v>
      </c>
      <c r="J21" s="17">
        <f t="shared" si="0"/>
        <v>924.80765000000031</v>
      </c>
      <c r="K21" s="17">
        <f t="shared" si="0"/>
        <v>721.25560000000007</v>
      </c>
      <c r="L21" s="17">
        <f t="shared" si="0"/>
        <v>686.38180000000034</v>
      </c>
      <c r="M21" s="17">
        <f t="shared" si="0"/>
        <v>668.06090000000017</v>
      </c>
      <c r="N21" s="17">
        <f t="shared" si="0"/>
        <v>652.39200000000062</v>
      </c>
      <c r="O21" s="17">
        <f t="shared" si="0"/>
        <v>558.66589999999997</v>
      </c>
      <c r="P21" s="17">
        <f t="shared" si="0"/>
        <v>523.7921</v>
      </c>
      <c r="Q21" s="17">
        <f t="shared" si="0"/>
        <v>505.47120000000007</v>
      </c>
      <c r="R21" s="17">
        <f t="shared" si="0"/>
        <v>489.80229999999972</v>
      </c>
      <c r="S21" s="17">
        <f t="shared" si="0"/>
        <v>513.02940000000024</v>
      </c>
      <c r="T21" s="17">
        <f t="shared" si="0"/>
        <v>478.15560000000028</v>
      </c>
      <c r="U21" s="17">
        <f t="shared" si="0"/>
        <v>459.83470000000034</v>
      </c>
      <c r="V21" s="17">
        <f t="shared" si="0"/>
        <v>444.16580000000027</v>
      </c>
      <c r="W21" s="17">
        <f t="shared" si="0"/>
        <v>247.25480000000024</v>
      </c>
      <c r="X21" s="17">
        <f t="shared" si="0"/>
        <v>212.3699500000003</v>
      </c>
      <c r="Y21" s="17">
        <f t="shared" si="0"/>
        <v>194.06010000000012</v>
      </c>
      <c r="Z21" s="17">
        <f t="shared" si="0"/>
        <v>178.38015000000007</v>
      </c>
    </row>
    <row r="22" spans="1:26" ht="24" hidden="1">
      <c r="A22" s="14" t="s">
        <v>10</v>
      </c>
      <c r="B22" s="15" t="s">
        <v>7</v>
      </c>
      <c r="C22" s="17">
        <f>C8*1.105</f>
        <v>212.84510000000012</v>
      </c>
      <c r="D22" s="17">
        <f t="shared" si="0"/>
        <v>177.97129999999945</v>
      </c>
      <c r="E22" s="17">
        <f t="shared" si="0"/>
        <v>159.65040000000002</v>
      </c>
      <c r="F22" s="17">
        <f t="shared" si="0"/>
        <v>143.9814999999997</v>
      </c>
      <c r="G22" s="17">
        <f t="shared" si="0"/>
        <v>911.96754999999996</v>
      </c>
      <c r="H22" s="17">
        <f t="shared" si="0"/>
        <v>877.09375</v>
      </c>
      <c r="I22" s="17">
        <f t="shared" si="0"/>
        <v>858.78390000000002</v>
      </c>
      <c r="J22" s="17">
        <f t="shared" si="0"/>
        <v>843.10394999999971</v>
      </c>
      <c r="K22" s="17">
        <f t="shared" si="0"/>
        <v>655.23185000000024</v>
      </c>
      <c r="L22" s="17">
        <f t="shared" si="0"/>
        <v>620.35805000000028</v>
      </c>
      <c r="M22" s="17">
        <f t="shared" si="0"/>
        <v>602.04820000000018</v>
      </c>
      <c r="N22" s="17">
        <f t="shared" si="0"/>
        <v>586.36825000000056</v>
      </c>
      <c r="O22" s="17">
        <f t="shared" si="0"/>
        <v>496.86324999999982</v>
      </c>
      <c r="P22" s="17">
        <f t="shared" si="0"/>
        <v>461.97840000000014</v>
      </c>
      <c r="Q22" s="17">
        <f t="shared" si="0"/>
        <v>443.66854999999998</v>
      </c>
      <c r="R22" s="17">
        <f t="shared" si="0"/>
        <v>427.98860000000019</v>
      </c>
      <c r="S22" s="17">
        <f t="shared" si="0"/>
        <v>461.60269999999974</v>
      </c>
      <c r="T22" s="17">
        <f t="shared" si="0"/>
        <v>426.71785000000006</v>
      </c>
      <c r="U22" s="17">
        <f t="shared" si="0"/>
        <v>408.4079999999999</v>
      </c>
      <c r="V22" s="17">
        <f t="shared" si="0"/>
        <v>392.72805000000011</v>
      </c>
      <c r="W22" s="17">
        <f t="shared" si="0"/>
        <v>212.23734999999994</v>
      </c>
      <c r="X22" s="17">
        <f t="shared" si="0"/>
        <v>177.36355000000023</v>
      </c>
      <c r="Y22" s="17">
        <f t="shared" si="0"/>
        <v>159.05370000000005</v>
      </c>
      <c r="Z22" s="17">
        <f t="shared" si="0"/>
        <v>143.37375</v>
      </c>
    </row>
    <row r="23" spans="1:26" ht="15" hidden="1" customHeight="1">
      <c r="A23" s="788" t="s">
        <v>27</v>
      </c>
      <c r="B23" s="790"/>
      <c r="C23" s="793" t="s">
        <v>17</v>
      </c>
      <c r="D23" s="793"/>
      <c r="E23" s="793"/>
      <c r="F23" s="793"/>
      <c r="G23" s="793" t="s">
        <v>18</v>
      </c>
      <c r="H23" s="793"/>
      <c r="I23" s="793"/>
      <c r="J23" s="793"/>
      <c r="K23" s="793" t="s">
        <v>19</v>
      </c>
      <c r="L23" s="793"/>
      <c r="M23" s="793"/>
      <c r="N23" s="793"/>
      <c r="O23" s="793" t="s">
        <v>20</v>
      </c>
      <c r="P23" s="793"/>
      <c r="Q23" s="793"/>
      <c r="R23" s="793"/>
      <c r="S23" s="793" t="s">
        <v>21</v>
      </c>
      <c r="T23" s="793"/>
      <c r="U23" s="793"/>
      <c r="V23" s="793"/>
      <c r="W23" s="793" t="s">
        <v>22</v>
      </c>
      <c r="X23" s="793"/>
      <c r="Y23" s="793"/>
      <c r="Z23" s="793"/>
    </row>
    <row r="24" spans="1:26" hidden="1">
      <c r="A24" s="791"/>
      <c r="B24" s="792"/>
      <c r="C24" s="650" t="s">
        <v>2</v>
      </c>
      <c r="D24" s="650" t="s">
        <v>3</v>
      </c>
      <c r="E24" s="650" t="s">
        <v>4</v>
      </c>
      <c r="F24" s="650" t="s">
        <v>5</v>
      </c>
      <c r="G24" s="650" t="s">
        <v>2</v>
      </c>
      <c r="H24" s="650" t="s">
        <v>3</v>
      </c>
      <c r="I24" s="650" t="s">
        <v>4</v>
      </c>
      <c r="J24" s="650" t="s">
        <v>5</v>
      </c>
      <c r="K24" s="12" t="s">
        <v>2</v>
      </c>
      <c r="L24" s="12" t="s">
        <v>3</v>
      </c>
      <c r="M24" s="12" t="s">
        <v>4</v>
      </c>
      <c r="N24" s="12" t="s">
        <v>5</v>
      </c>
      <c r="O24" s="13" t="s">
        <v>2</v>
      </c>
      <c r="P24" s="13" t="s">
        <v>3</v>
      </c>
      <c r="Q24" s="13" t="s">
        <v>4</v>
      </c>
      <c r="R24" s="13" t="s">
        <v>5</v>
      </c>
      <c r="S24" s="12" t="s">
        <v>2</v>
      </c>
      <c r="T24" s="12" t="s">
        <v>3</v>
      </c>
      <c r="U24" s="12" t="s">
        <v>4</v>
      </c>
      <c r="V24" s="12" t="s">
        <v>5</v>
      </c>
      <c r="W24" s="13" t="s">
        <v>2</v>
      </c>
      <c r="X24" s="13" t="s">
        <v>3</v>
      </c>
      <c r="Y24" s="13" t="s">
        <v>4</v>
      </c>
      <c r="Z24" s="13" t="s">
        <v>5</v>
      </c>
    </row>
    <row r="25" spans="1:26" ht="24" hidden="1">
      <c r="A25" s="14" t="s">
        <v>6</v>
      </c>
      <c r="B25" s="15" t="s">
        <v>7</v>
      </c>
      <c r="C25" s="17">
        <f>C11*1.105</f>
        <v>447.69074999999987</v>
      </c>
      <c r="D25" s="17">
        <f t="shared" ref="D25:R25" si="1">D11*1.105</f>
        <v>467.40395000000001</v>
      </c>
      <c r="E25" s="17">
        <f t="shared" si="1"/>
        <v>477.75780000000015</v>
      </c>
      <c r="F25" s="17">
        <f t="shared" si="1"/>
        <v>486.60884999999985</v>
      </c>
      <c r="G25" s="17">
        <f t="shared" si="1"/>
        <v>245.1884500000001</v>
      </c>
      <c r="H25" s="17">
        <f t="shared" si="1"/>
        <v>264.91270000000026</v>
      </c>
      <c r="I25" s="17">
        <f t="shared" si="1"/>
        <v>275.25550000000015</v>
      </c>
      <c r="J25" s="17">
        <f t="shared" si="1"/>
        <v>284.10655000000014</v>
      </c>
      <c r="K25" s="17">
        <f t="shared" si="1"/>
        <v>432.44175000000013</v>
      </c>
      <c r="L25" s="17">
        <f t="shared" si="1"/>
        <v>452.16599999999977</v>
      </c>
      <c r="M25" s="17">
        <f t="shared" si="1"/>
        <v>462.50879999999967</v>
      </c>
      <c r="N25" s="17">
        <f t="shared" si="1"/>
        <v>471.37089999999989</v>
      </c>
      <c r="O25" s="17">
        <f t="shared" si="1"/>
        <v>622.93269999999995</v>
      </c>
      <c r="P25" s="17">
        <f t="shared" si="1"/>
        <v>642.64589999999987</v>
      </c>
      <c r="Q25" s="17">
        <f t="shared" si="1"/>
        <v>652.99975000000006</v>
      </c>
      <c r="R25" s="17">
        <f t="shared" si="1"/>
        <v>661.85079999999948</v>
      </c>
      <c r="S25" s="17">
        <f>S11*1.115*1.105</f>
        <v>640.37098125</v>
      </c>
      <c r="T25" s="17">
        <f t="shared" ref="T25:Z25" si="2">T11*1.115*1.105</f>
        <v>662.36352000000011</v>
      </c>
      <c r="U25" s="17">
        <f t="shared" si="2"/>
        <v>673.89574200000004</v>
      </c>
      <c r="V25" s="17">
        <f t="shared" si="2"/>
        <v>683.76466274999973</v>
      </c>
      <c r="W25" s="17">
        <f t="shared" si="2"/>
        <v>384.65381499999972</v>
      </c>
      <c r="X25" s="17">
        <f t="shared" si="2"/>
        <v>406.64635375000023</v>
      </c>
      <c r="Y25" s="17">
        <f t="shared" si="2"/>
        <v>418.17857574999982</v>
      </c>
      <c r="Z25" s="17">
        <f t="shared" si="2"/>
        <v>428.05981725000032</v>
      </c>
    </row>
    <row r="26" spans="1:26" ht="24" hidden="1">
      <c r="A26" s="14" t="s">
        <v>8</v>
      </c>
      <c r="B26" s="15" t="s">
        <v>7</v>
      </c>
      <c r="C26" s="17">
        <f t="shared" ref="C26:R28" si="3">C12*1.105</f>
        <v>452.68535000000008</v>
      </c>
      <c r="D26" s="17">
        <f t="shared" si="3"/>
        <v>472.40960000000024</v>
      </c>
      <c r="E26" s="17">
        <f t="shared" si="3"/>
        <v>482.75240000000036</v>
      </c>
      <c r="F26" s="17">
        <f t="shared" si="3"/>
        <v>491.60345000000012</v>
      </c>
      <c r="G26" s="17">
        <f t="shared" si="3"/>
        <v>253.17760000000013</v>
      </c>
      <c r="H26" s="17">
        <f t="shared" si="3"/>
        <v>272.90185000000025</v>
      </c>
      <c r="I26" s="17">
        <f t="shared" si="3"/>
        <v>283.24465000000015</v>
      </c>
      <c r="J26" s="17">
        <f t="shared" si="3"/>
        <v>292.10675000000037</v>
      </c>
      <c r="K26" s="17">
        <f t="shared" si="3"/>
        <v>434.20975000000004</v>
      </c>
      <c r="L26" s="17">
        <f t="shared" si="3"/>
        <v>453.93399999999997</v>
      </c>
      <c r="M26" s="17">
        <f t="shared" si="3"/>
        <v>464.27679999999981</v>
      </c>
      <c r="N26" s="17">
        <f t="shared" si="3"/>
        <v>473.13890000000004</v>
      </c>
      <c r="O26" s="17">
        <f t="shared" si="3"/>
        <v>623.92720000000008</v>
      </c>
      <c r="P26" s="17">
        <f t="shared" si="3"/>
        <v>643.65144999999973</v>
      </c>
      <c r="Q26" s="17">
        <f t="shared" si="3"/>
        <v>654.00529999999958</v>
      </c>
      <c r="R26" s="17">
        <f t="shared" si="3"/>
        <v>662.85634999999934</v>
      </c>
      <c r="S26" s="17">
        <f t="shared" ref="S26:Z28" si="4">S12*1.115*1.105</f>
        <v>642.7735275</v>
      </c>
      <c r="T26" s="17">
        <f t="shared" si="4"/>
        <v>664.76606624999965</v>
      </c>
      <c r="U26" s="17">
        <f t="shared" si="4"/>
        <v>676.29828825000027</v>
      </c>
      <c r="V26" s="17">
        <f t="shared" si="4"/>
        <v>686.16720900000007</v>
      </c>
      <c r="W26" s="17">
        <f t="shared" si="4"/>
        <v>388.0173797499998</v>
      </c>
      <c r="X26" s="17">
        <f t="shared" si="4"/>
        <v>410.0099185000002</v>
      </c>
      <c r="Y26" s="17">
        <f t="shared" si="4"/>
        <v>421.54214049999985</v>
      </c>
      <c r="Z26" s="17">
        <f t="shared" si="4"/>
        <v>431.4233820000004</v>
      </c>
    </row>
    <row r="27" spans="1:26" ht="24" hidden="1">
      <c r="A27" s="14" t="s">
        <v>9</v>
      </c>
      <c r="B27" s="15" t="s">
        <v>7</v>
      </c>
      <c r="C27" s="17">
        <f t="shared" si="3"/>
        <v>482.73030000000011</v>
      </c>
      <c r="D27" s="17">
        <f t="shared" si="3"/>
        <v>502.45455000000004</v>
      </c>
      <c r="E27" s="17">
        <f t="shared" si="3"/>
        <v>512.80840000000012</v>
      </c>
      <c r="F27" s="17">
        <f t="shared" si="3"/>
        <v>521.65944999999988</v>
      </c>
      <c r="G27" s="17">
        <f t="shared" si="3"/>
        <v>301.13460000000021</v>
      </c>
      <c r="H27" s="17">
        <f t="shared" si="3"/>
        <v>320.8478000000004</v>
      </c>
      <c r="I27" s="17">
        <f t="shared" si="3"/>
        <v>331.20165000000003</v>
      </c>
      <c r="J27" s="17">
        <f t="shared" si="3"/>
        <v>340.05270000000024</v>
      </c>
      <c r="K27" s="17">
        <f t="shared" si="3"/>
        <v>444.17685</v>
      </c>
      <c r="L27" s="17">
        <f t="shared" si="3"/>
        <v>463.90110000000016</v>
      </c>
      <c r="M27" s="17">
        <f t="shared" si="3"/>
        <v>474.25495000000006</v>
      </c>
      <c r="N27" s="17">
        <f t="shared" si="3"/>
        <v>483.10600000000028</v>
      </c>
      <c r="O27" s="17">
        <f t="shared" si="3"/>
        <v>629.51850000000002</v>
      </c>
      <c r="P27" s="17">
        <f t="shared" si="3"/>
        <v>649.23169999999971</v>
      </c>
      <c r="Q27" s="17">
        <f t="shared" si="3"/>
        <v>659.58554999999956</v>
      </c>
      <c r="R27" s="17">
        <f t="shared" si="3"/>
        <v>668.43659999999932</v>
      </c>
      <c r="S27" s="17">
        <f t="shared" si="4"/>
        <v>656.36331475000009</v>
      </c>
      <c r="T27" s="17">
        <f t="shared" si="4"/>
        <v>678.34353275000024</v>
      </c>
      <c r="U27" s="17">
        <f t="shared" si="4"/>
        <v>689.88807550000001</v>
      </c>
      <c r="V27" s="17">
        <f t="shared" si="4"/>
        <v>699.75699624999982</v>
      </c>
      <c r="W27" s="17">
        <f t="shared" si="4"/>
        <v>407.15150449999976</v>
      </c>
      <c r="X27" s="17">
        <f t="shared" si="4"/>
        <v>429.14404324999992</v>
      </c>
      <c r="Y27" s="17">
        <f t="shared" si="4"/>
        <v>440.68858599999982</v>
      </c>
      <c r="Z27" s="17">
        <f t="shared" si="4"/>
        <v>450.55750675000007</v>
      </c>
    </row>
    <row r="28" spans="1:26" ht="24" hidden="1">
      <c r="A28" s="14" t="s">
        <v>10</v>
      </c>
      <c r="B28" s="15" t="s">
        <v>7</v>
      </c>
      <c r="C28" s="17">
        <f t="shared" si="3"/>
        <v>506.89665000000025</v>
      </c>
      <c r="D28" s="17">
        <f t="shared" si="3"/>
        <v>526.60985000000016</v>
      </c>
      <c r="E28" s="17">
        <f t="shared" si="3"/>
        <v>536.96370000000036</v>
      </c>
      <c r="F28" s="17">
        <f t="shared" si="3"/>
        <v>545.81475</v>
      </c>
      <c r="G28" s="17">
        <f t="shared" si="3"/>
        <v>339.71015000000006</v>
      </c>
      <c r="H28" s="17">
        <f t="shared" si="3"/>
        <v>359.4233500000002</v>
      </c>
      <c r="I28" s="17">
        <f t="shared" si="3"/>
        <v>369.77720000000011</v>
      </c>
      <c r="J28" s="17">
        <f t="shared" si="3"/>
        <v>378.62825000000032</v>
      </c>
      <c r="K28" s="17">
        <f t="shared" si="3"/>
        <v>452.27649999999994</v>
      </c>
      <c r="L28" s="17">
        <f t="shared" si="3"/>
        <v>472.0007500000001</v>
      </c>
      <c r="M28" s="17">
        <f t="shared" si="3"/>
        <v>482.34354999999999</v>
      </c>
      <c r="N28" s="17">
        <f t="shared" si="3"/>
        <v>491.20565000000022</v>
      </c>
      <c r="O28" s="17">
        <f t="shared" si="3"/>
        <v>634.03794999999991</v>
      </c>
      <c r="P28" s="17">
        <f t="shared" si="3"/>
        <v>653.76219999999989</v>
      </c>
      <c r="Q28" s="17">
        <f t="shared" si="3"/>
        <v>664.10499999999979</v>
      </c>
      <c r="R28" s="17">
        <f t="shared" si="3"/>
        <v>672.9670999999995</v>
      </c>
      <c r="S28" s="17">
        <f t="shared" si="4"/>
        <v>667.37806525000008</v>
      </c>
      <c r="T28" s="17">
        <f t="shared" si="4"/>
        <v>689.37060399999973</v>
      </c>
      <c r="U28" s="17">
        <f t="shared" si="4"/>
        <v>700.91514675000042</v>
      </c>
      <c r="V28" s="17">
        <f t="shared" si="4"/>
        <v>710.78406749999999</v>
      </c>
      <c r="W28" s="17">
        <f t="shared" si="4"/>
        <v>422.68797024999986</v>
      </c>
      <c r="X28" s="17">
        <f t="shared" si="4"/>
        <v>444.68050900000009</v>
      </c>
      <c r="Y28" s="17">
        <f t="shared" si="4"/>
        <v>456.21273100000019</v>
      </c>
      <c r="Z28" s="17">
        <f t="shared" si="4"/>
        <v>466.08165174999999</v>
      </c>
    </row>
    <row r="33" spans="1:26">
      <c r="A33" s="10" t="s">
        <v>30</v>
      </c>
    </row>
    <row r="36" spans="1:26">
      <c r="C36" s="651">
        <f>C5/1000</f>
        <v>0.30404999999999993</v>
      </c>
      <c r="D36" s="651">
        <f t="shared" ref="D36:Z36" si="5">D5/1000</f>
        <v>0.27247999999999978</v>
      </c>
      <c r="E36" s="651">
        <f t="shared" si="5"/>
        <v>0.25590999999999986</v>
      </c>
      <c r="F36" s="651">
        <f t="shared" si="5"/>
        <v>0.2417199999999998</v>
      </c>
      <c r="G36" s="651">
        <f t="shared" si="5"/>
        <v>1.0063200000000001</v>
      </c>
      <c r="H36" s="651">
        <f t="shared" si="5"/>
        <v>0.9747600000000004</v>
      </c>
      <c r="I36" s="651">
        <f t="shared" si="5"/>
        <v>0.95818000000000025</v>
      </c>
      <c r="J36" s="651">
        <f t="shared" si="5"/>
        <v>0.94399000000000022</v>
      </c>
      <c r="K36" s="651">
        <f t="shared" si="5"/>
        <v>0.73923999999999979</v>
      </c>
      <c r="L36" s="651">
        <f t="shared" si="5"/>
        <v>0.70767000000000002</v>
      </c>
      <c r="M36" s="651">
        <f t="shared" si="5"/>
        <v>0.69109999999999994</v>
      </c>
      <c r="N36" s="651">
        <f t="shared" si="5"/>
        <v>0.67691000000000034</v>
      </c>
      <c r="O36" s="651">
        <f t="shared" si="5"/>
        <v>0.58658999999999994</v>
      </c>
      <c r="P36" s="651">
        <f t="shared" si="5"/>
        <v>0.55502000000000018</v>
      </c>
      <c r="Q36" s="651">
        <f t="shared" si="5"/>
        <v>0.5384500000000001</v>
      </c>
      <c r="R36" s="651">
        <f t="shared" si="5"/>
        <v>0.52425999999999973</v>
      </c>
      <c r="S36" s="651">
        <f t="shared" si="5"/>
        <v>0.53169000000000011</v>
      </c>
      <c r="T36" s="651">
        <f t="shared" si="5"/>
        <v>0.5001300000000003</v>
      </c>
      <c r="U36" s="651">
        <f t="shared" si="5"/>
        <v>0.4835500000000002</v>
      </c>
      <c r="V36" s="651">
        <f t="shared" si="5"/>
        <v>0.46937000000000012</v>
      </c>
      <c r="W36" s="651">
        <f t="shared" si="5"/>
        <v>0.26962000000000014</v>
      </c>
      <c r="X36" s="651">
        <f t="shared" si="5"/>
        <v>0.23806000000000016</v>
      </c>
      <c r="Y36" s="651">
        <f t="shared" si="5"/>
        <v>0.22148000000000001</v>
      </c>
      <c r="Z36" s="651">
        <f t="shared" si="5"/>
        <v>0.20729999999999996</v>
      </c>
    </row>
    <row r="37" spans="1:26">
      <c r="C37" s="651">
        <f t="shared" ref="C37:Z37" si="6">C6/1000</f>
        <v>0.2946700000000001</v>
      </c>
      <c r="D37" s="651">
        <f t="shared" si="6"/>
        <v>0.2631099999999999</v>
      </c>
      <c r="E37" s="651">
        <f t="shared" si="6"/>
        <v>0.24653999999999995</v>
      </c>
      <c r="F37" s="651">
        <f t="shared" si="6"/>
        <v>0.23234999999999992</v>
      </c>
      <c r="G37" s="651">
        <f t="shared" si="6"/>
        <v>0.99099999999999999</v>
      </c>
      <c r="H37" s="651">
        <f t="shared" si="6"/>
        <v>0.95944000000000029</v>
      </c>
      <c r="I37" s="651">
        <f t="shared" si="6"/>
        <v>0.94286000000000014</v>
      </c>
      <c r="J37" s="651">
        <f t="shared" si="6"/>
        <v>0.92867999999999984</v>
      </c>
      <c r="K37" s="651">
        <f t="shared" si="6"/>
        <v>0.72687000000000013</v>
      </c>
      <c r="L37" s="651">
        <f t="shared" si="6"/>
        <v>0.69529999999999992</v>
      </c>
      <c r="M37" s="651">
        <f t="shared" si="6"/>
        <v>0.67872999999999983</v>
      </c>
      <c r="N37" s="651">
        <f t="shared" si="6"/>
        <v>0.66454000000000024</v>
      </c>
      <c r="O37" s="651">
        <f t="shared" si="6"/>
        <v>0.57501999999999998</v>
      </c>
      <c r="P37" s="651">
        <f t="shared" si="6"/>
        <v>0.5434500000000001</v>
      </c>
      <c r="Q37" s="651">
        <f t="shared" si="6"/>
        <v>0.52688000000000013</v>
      </c>
      <c r="R37" s="651">
        <f t="shared" si="6"/>
        <v>0.51269000000000009</v>
      </c>
      <c r="S37" s="651">
        <f t="shared" si="6"/>
        <v>0.52205999999999997</v>
      </c>
      <c r="T37" s="651">
        <f t="shared" si="6"/>
        <v>0.49049999999999999</v>
      </c>
      <c r="U37" s="651">
        <f t="shared" si="6"/>
        <v>0.47392999999999985</v>
      </c>
      <c r="V37" s="651">
        <f t="shared" si="6"/>
        <v>0.45973999999999976</v>
      </c>
      <c r="W37" s="651">
        <f t="shared" si="6"/>
        <v>0.26308999999999994</v>
      </c>
      <c r="X37" s="651">
        <f t="shared" si="6"/>
        <v>0.23153000000000021</v>
      </c>
      <c r="Y37" s="651">
        <f t="shared" si="6"/>
        <v>0.21495000000000028</v>
      </c>
      <c r="Z37" s="651">
        <f t="shared" si="6"/>
        <v>0.20075999999999999</v>
      </c>
    </row>
    <row r="38" spans="1:26">
      <c r="C38" s="651">
        <f t="shared" ref="C38:Z38" si="7">C7/1000</f>
        <v>0.23812999999999987</v>
      </c>
      <c r="D38" s="651">
        <f t="shared" si="7"/>
        <v>0.20655999999999972</v>
      </c>
      <c r="E38" s="651">
        <f t="shared" si="7"/>
        <v>0.18998999999999977</v>
      </c>
      <c r="F38" s="651">
        <f t="shared" si="7"/>
        <v>0.17579999999999973</v>
      </c>
      <c r="G38" s="651">
        <f t="shared" si="7"/>
        <v>0.89925999999999973</v>
      </c>
      <c r="H38" s="651">
        <f t="shared" si="7"/>
        <v>0.86769000000000029</v>
      </c>
      <c r="I38" s="651">
        <f t="shared" si="7"/>
        <v>0.85112000000000032</v>
      </c>
      <c r="J38" s="651">
        <f t="shared" si="7"/>
        <v>0.83693000000000028</v>
      </c>
      <c r="K38" s="651">
        <f t="shared" si="7"/>
        <v>0.65272000000000008</v>
      </c>
      <c r="L38" s="651">
        <f t="shared" si="7"/>
        <v>0.62116000000000027</v>
      </c>
      <c r="M38" s="651">
        <f t="shared" si="7"/>
        <v>0.60458000000000012</v>
      </c>
      <c r="N38" s="651">
        <f t="shared" si="7"/>
        <v>0.59040000000000059</v>
      </c>
      <c r="O38" s="651">
        <f t="shared" si="7"/>
        <v>0.50557999999999992</v>
      </c>
      <c r="P38" s="651">
        <f t="shared" si="7"/>
        <v>0.47402</v>
      </c>
      <c r="Q38" s="651">
        <f t="shared" si="7"/>
        <v>0.45744000000000007</v>
      </c>
      <c r="R38" s="651">
        <f t="shared" si="7"/>
        <v>0.44325999999999977</v>
      </c>
      <c r="S38" s="651">
        <f t="shared" si="7"/>
        <v>0.46428000000000019</v>
      </c>
      <c r="T38" s="651">
        <f t="shared" si="7"/>
        <v>0.43272000000000027</v>
      </c>
      <c r="U38" s="651">
        <f t="shared" si="7"/>
        <v>0.41614000000000034</v>
      </c>
      <c r="V38" s="651">
        <f t="shared" si="7"/>
        <v>0.40196000000000026</v>
      </c>
      <c r="W38" s="651">
        <f t="shared" si="7"/>
        <v>0.22376000000000021</v>
      </c>
      <c r="X38" s="651">
        <f t="shared" si="7"/>
        <v>0.19219000000000028</v>
      </c>
      <c r="Y38" s="651">
        <f t="shared" si="7"/>
        <v>0.17562000000000011</v>
      </c>
      <c r="Z38" s="651">
        <f t="shared" si="7"/>
        <v>0.16143000000000007</v>
      </c>
    </row>
    <row r="39" spans="1:26">
      <c r="C39" s="651">
        <f t="shared" ref="C39:Z39" si="8">C8/1000</f>
        <v>0.19262000000000012</v>
      </c>
      <c r="D39" s="651">
        <f t="shared" si="8"/>
        <v>0.16105999999999948</v>
      </c>
      <c r="E39" s="651">
        <f t="shared" si="8"/>
        <v>0.14448000000000003</v>
      </c>
      <c r="F39" s="651">
        <f t="shared" si="8"/>
        <v>0.13029999999999972</v>
      </c>
      <c r="G39" s="651">
        <f t="shared" si="8"/>
        <v>0.82530999999999999</v>
      </c>
      <c r="H39" s="651">
        <f t="shared" si="8"/>
        <v>0.79374999999999996</v>
      </c>
      <c r="I39" s="651">
        <f t="shared" si="8"/>
        <v>0.77718000000000009</v>
      </c>
      <c r="J39" s="651">
        <f t="shared" si="8"/>
        <v>0.76298999999999984</v>
      </c>
      <c r="K39" s="651">
        <f t="shared" si="8"/>
        <v>0.59297000000000022</v>
      </c>
      <c r="L39" s="651">
        <f t="shared" si="8"/>
        <v>0.5614100000000003</v>
      </c>
      <c r="M39" s="651">
        <f t="shared" si="8"/>
        <v>0.5448400000000001</v>
      </c>
      <c r="N39" s="651">
        <f t="shared" si="8"/>
        <v>0.53065000000000051</v>
      </c>
      <c r="O39" s="651">
        <f t="shared" si="8"/>
        <v>0.44964999999999988</v>
      </c>
      <c r="P39" s="651">
        <f t="shared" si="8"/>
        <v>0.41808000000000017</v>
      </c>
      <c r="Q39" s="651">
        <f t="shared" si="8"/>
        <v>0.40150999999999998</v>
      </c>
      <c r="R39" s="651">
        <f t="shared" si="8"/>
        <v>0.38732000000000016</v>
      </c>
      <c r="S39" s="651">
        <f t="shared" si="8"/>
        <v>0.41773999999999978</v>
      </c>
      <c r="T39" s="651">
        <f t="shared" si="8"/>
        <v>0.38617000000000007</v>
      </c>
      <c r="U39" s="651">
        <f t="shared" si="8"/>
        <v>0.36959999999999993</v>
      </c>
      <c r="V39" s="651">
        <f t="shared" si="8"/>
        <v>0.35541000000000006</v>
      </c>
      <c r="W39" s="651">
        <f t="shared" si="8"/>
        <v>0.19206999999999994</v>
      </c>
      <c r="X39" s="651">
        <f t="shared" si="8"/>
        <v>0.16051000000000021</v>
      </c>
      <c r="Y39" s="651">
        <f t="shared" si="8"/>
        <v>0.14394000000000007</v>
      </c>
      <c r="Z39" s="651">
        <f t="shared" si="8"/>
        <v>0.12975</v>
      </c>
    </row>
    <row r="40" spans="1:26">
      <c r="C40" s="651"/>
      <c r="D40" s="651"/>
      <c r="E40" s="651"/>
      <c r="F40" s="651"/>
      <c r="G40" s="651"/>
      <c r="H40" s="651"/>
      <c r="I40" s="651"/>
      <c r="J40" s="651"/>
      <c r="K40" s="651"/>
      <c r="L40" s="651"/>
      <c r="M40" s="651"/>
      <c r="N40" s="651"/>
      <c r="O40" s="651"/>
      <c r="P40" s="651"/>
      <c r="Q40" s="651"/>
      <c r="R40" s="651"/>
      <c r="S40" s="651"/>
      <c r="T40" s="651"/>
      <c r="U40" s="651"/>
      <c r="V40" s="651"/>
      <c r="W40" s="651"/>
      <c r="X40" s="651"/>
      <c r="Y40" s="651"/>
      <c r="Z40" s="651"/>
    </row>
    <row r="41" spans="1:26">
      <c r="C41" s="651"/>
      <c r="D41" s="651"/>
      <c r="E41" s="651"/>
      <c r="F41" s="651"/>
      <c r="G41" s="651"/>
      <c r="H41" s="651"/>
      <c r="I41" s="651"/>
      <c r="J41" s="651"/>
      <c r="K41" s="651"/>
      <c r="L41" s="651"/>
      <c r="M41" s="651"/>
      <c r="N41" s="651"/>
      <c r="O41" s="651"/>
      <c r="P41" s="651"/>
      <c r="Q41" s="651"/>
      <c r="R41" s="651"/>
      <c r="S41" s="651"/>
      <c r="T41" s="651"/>
      <c r="U41" s="651"/>
      <c r="V41" s="651"/>
      <c r="W41" s="651"/>
      <c r="X41" s="651"/>
      <c r="Y41" s="651"/>
      <c r="Z41" s="651"/>
    </row>
    <row r="42" spans="1:26">
      <c r="C42" s="651">
        <f t="shared" ref="C42:Z42" si="9">C11/1000</f>
        <v>0.40514999999999984</v>
      </c>
      <c r="D42" s="651">
        <f t="shared" si="9"/>
        <v>0.42299000000000003</v>
      </c>
      <c r="E42" s="651">
        <f t="shared" si="9"/>
        <v>0.43236000000000013</v>
      </c>
      <c r="F42" s="651">
        <f t="shared" si="9"/>
        <v>0.44036999999999987</v>
      </c>
      <c r="G42" s="651">
        <f t="shared" si="9"/>
        <v>0.22189000000000009</v>
      </c>
      <c r="H42" s="651">
        <f t="shared" si="9"/>
        <v>0.23974000000000023</v>
      </c>
      <c r="I42" s="651">
        <f t="shared" si="9"/>
        <v>0.24910000000000013</v>
      </c>
      <c r="J42" s="651">
        <f t="shared" si="9"/>
        <v>0.25711000000000012</v>
      </c>
      <c r="K42" s="651">
        <f t="shared" si="9"/>
        <v>0.39135000000000014</v>
      </c>
      <c r="L42" s="651">
        <f t="shared" si="9"/>
        <v>0.40919999999999984</v>
      </c>
      <c r="M42" s="651">
        <f t="shared" si="9"/>
        <v>0.41855999999999971</v>
      </c>
      <c r="N42" s="651">
        <f t="shared" si="9"/>
        <v>0.4265799999999999</v>
      </c>
      <c r="O42" s="651">
        <f t="shared" si="9"/>
        <v>0.56374000000000002</v>
      </c>
      <c r="P42" s="651">
        <f t="shared" si="9"/>
        <v>0.58157999999999987</v>
      </c>
      <c r="Q42" s="651">
        <f t="shared" si="9"/>
        <v>0.59095000000000009</v>
      </c>
      <c r="R42" s="651">
        <f t="shared" si="9"/>
        <v>0.5989599999999996</v>
      </c>
      <c r="S42" s="651">
        <f t="shared" si="9"/>
        <v>0.51975000000000005</v>
      </c>
      <c r="T42" s="651">
        <f t="shared" si="9"/>
        <v>0.53760000000000019</v>
      </c>
      <c r="U42" s="651">
        <f t="shared" si="9"/>
        <v>0.54696</v>
      </c>
      <c r="V42" s="651">
        <f t="shared" si="9"/>
        <v>0.55496999999999985</v>
      </c>
      <c r="W42" s="651">
        <f t="shared" si="9"/>
        <v>0.31219999999999981</v>
      </c>
      <c r="X42" s="651">
        <f t="shared" si="9"/>
        <v>0.33005000000000018</v>
      </c>
      <c r="Y42" s="651">
        <f t="shared" si="9"/>
        <v>0.33940999999999988</v>
      </c>
      <c r="Z42" s="651">
        <f t="shared" si="9"/>
        <v>0.34743000000000029</v>
      </c>
    </row>
    <row r="43" spans="1:26">
      <c r="C43" s="651">
        <f t="shared" ref="C43:Z43" si="10">C12/1000</f>
        <v>0.40967000000000009</v>
      </c>
      <c r="D43" s="651">
        <f t="shared" si="10"/>
        <v>0.42752000000000023</v>
      </c>
      <c r="E43" s="651">
        <f t="shared" si="10"/>
        <v>0.43688000000000032</v>
      </c>
      <c r="F43" s="651">
        <f t="shared" si="10"/>
        <v>0.44489000000000012</v>
      </c>
      <c r="G43" s="651">
        <f t="shared" si="10"/>
        <v>0.22912000000000013</v>
      </c>
      <c r="H43" s="651">
        <f t="shared" si="10"/>
        <v>0.24697000000000024</v>
      </c>
      <c r="I43" s="651">
        <f t="shared" si="10"/>
        <v>0.25633000000000017</v>
      </c>
      <c r="J43" s="651">
        <f t="shared" si="10"/>
        <v>0.26435000000000036</v>
      </c>
      <c r="K43" s="651">
        <f t="shared" si="10"/>
        <v>0.39295000000000002</v>
      </c>
      <c r="L43" s="651">
        <f t="shared" si="10"/>
        <v>0.41079999999999994</v>
      </c>
      <c r="M43" s="651">
        <f t="shared" si="10"/>
        <v>0.42015999999999987</v>
      </c>
      <c r="N43" s="651">
        <f t="shared" si="10"/>
        <v>0.42818000000000006</v>
      </c>
      <c r="O43" s="651">
        <f t="shared" si="10"/>
        <v>0.56464000000000014</v>
      </c>
      <c r="P43" s="651">
        <f t="shared" si="10"/>
        <v>0.58248999999999973</v>
      </c>
      <c r="Q43" s="651">
        <f t="shared" si="10"/>
        <v>0.59185999999999972</v>
      </c>
      <c r="R43" s="651">
        <f t="shared" si="10"/>
        <v>0.59986999999999946</v>
      </c>
      <c r="S43" s="651">
        <f t="shared" si="10"/>
        <v>0.52170000000000005</v>
      </c>
      <c r="T43" s="651">
        <f t="shared" si="10"/>
        <v>0.53954999999999975</v>
      </c>
      <c r="U43" s="651">
        <f t="shared" si="10"/>
        <v>0.54891000000000034</v>
      </c>
      <c r="V43" s="651">
        <f t="shared" si="10"/>
        <v>0.55692000000000008</v>
      </c>
      <c r="W43" s="651">
        <f t="shared" si="10"/>
        <v>0.31492999999999982</v>
      </c>
      <c r="X43" s="651">
        <f t="shared" si="10"/>
        <v>0.33278000000000019</v>
      </c>
      <c r="Y43" s="651">
        <f t="shared" si="10"/>
        <v>0.34213999999999989</v>
      </c>
      <c r="Z43" s="651">
        <f t="shared" si="10"/>
        <v>0.3501600000000003</v>
      </c>
    </row>
    <row r="44" spans="1:26">
      <c r="C44" s="651">
        <f t="shared" ref="C44:Z44" si="11">C13/1000</f>
        <v>0.43686000000000014</v>
      </c>
      <c r="D44" s="651">
        <f t="shared" si="11"/>
        <v>0.45471000000000006</v>
      </c>
      <c r="E44" s="651">
        <f t="shared" si="11"/>
        <v>0.46408000000000016</v>
      </c>
      <c r="F44" s="651">
        <f t="shared" si="11"/>
        <v>0.4720899999999999</v>
      </c>
      <c r="G44" s="651">
        <f t="shared" si="11"/>
        <v>0.27252000000000021</v>
      </c>
      <c r="H44" s="651">
        <f t="shared" si="11"/>
        <v>0.29036000000000034</v>
      </c>
      <c r="I44" s="651">
        <f t="shared" si="11"/>
        <v>0.29973</v>
      </c>
      <c r="J44" s="651">
        <f t="shared" si="11"/>
        <v>0.30774000000000024</v>
      </c>
      <c r="K44" s="651">
        <f t="shared" si="11"/>
        <v>0.40197000000000005</v>
      </c>
      <c r="L44" s="651">
        <f t="shared" si="11"/>
        <v>0.41982000000000014</v>
      </c>
      <c r="M44" s="651">
        <f t="shared" si="11"/>
        <v>0.42919000000000007</v>
      </c>
      <c r="N44" s="651">
        <f t="shared" si="11"/>
        <v>0.43720000000000026</v>
      </c>
      <c r="O44" s="651">
        <f t="shared" si="11"/>
        <v>0.5697000000000001</v>
      </c>
      <c r="P44" s="651">
        <f t="shared" si="11"/>
        <v>0.58753999999999973</v>
      </c>
      <c r="Q44" s="651">
        <f t="shared" si="11"/>
        <v>0.59690999999999961</v>
      </c>
      <c r="R44" s="651">
        <f t="shared" si="11"/>
        <v>0.60491999999999935</v>
      </c>
      <c r="S44" s="651">
        <f t="shared" si="11"/>
        <v>0.53273000000000004</v>
      </c>
      <c r="T44" s="651">
        <f t="shared" si="11"/>
        <v>0.55057000000000011</v>
      </c>
      <c r="U44" s="651">
        <f t="shared" si="11"/>
        <v>0.5599400000000001</v>
      </c>
      <c r="V44" s="651">
        <f t="shared" si="11"/>
        <v>0.56794999999999984</v>
      </c>
      <c r="W44" s="651">
        <f t="shared" si="11"/>
        <v>0.33045999999999981</v>
      </c>
      <c r="X44" s="651">
        <f t="shared" si="11"/>
        <v>0.34830999999999995</v>
      </c>
      <c r="Y44" s="651">
        <f t="shared" si="11"/>
        <v>0.35767999999999983</v>
      </c>
      <c r="Z44" s="651">
        <f t="shared" si="11"/>
        <v>0.36569000000000007</v>
      </c>
    </row>
    <row r="45" spans="1:26">
      <c r="C45" s="651">
        <f t="shared" ref="C45:Z45" si="12">C14/1000</f>
        <v>0.45873000000000025</v>
      </c>
      <c r="D45" s="651">
        <f t="shared" si="12"/>
        <v>0.47657000000000016</v>
      </c>
      <c r="E45" s="651">
        <f t="shared" si="12"/>
        <v>0.48594000000000026</v>
      </c>
      <c r="F45" s="651">
        <f t="shared" si="12"/>
        <v>0.49395000000000006</v>
      </c>
      <c r="G45" s="651">
        <f t="shared" si="12"/>
        <v>0.30743000000000004</v>
      </c>
      <c r="H45" s="651">
        <f t="shared" si="12"/>
        <v>0.32527000000000023</v>
      </c>
      <c r="I45" s="651">
        <f t="shared" si="12"/>
        <v>0.3346400000000001</v>
      </c>
      <c r="J45" s="651">
        <f t="shared" si="12"/>
        <v>0.34265000000000034</v>
      </c>
      <c r="K45" s="651">
        <f t="shared" si="12"/>
        <v>0.40929999999999994</v>
      </c>
      <c r="L45" s="651">
        <f t="shared" si="12"/>
        <v>0.42715000000000009</v>
      </c>
      <c r="M45" s="651">
        <f t="shared" si="12"/>
        <v>0.43651000000000001</v>
      </c>
      <c r="N45" s="651">
        <f t="shared" si="12"/>
        <v>0.4445300000000002</v>
      </c>
      <c r="O45" s="651">
        <f t="shared" si="12"/>
        <v>0.57378999999999991</v>
      </c>
      <c r="P45" s="651">
        <f t="shared" si="12"/>
        <v>0.59163999999999983</v>
      </c>
      <c r="Q45" s="651">
        <f t="shared" si="12"/>
        <v>0.60099999999999976</v>
      </c>
      <c r="R45" s="651">
        <f t="shared" si="12"/>
        <v>0.60901999999999956</v>
      </c>
      <c r="S45" s="651">
        <f t="shared" si="12"/>
        <v>0.5416700000000001</v>
      </c>
      <c r="T45" s="651">
        <f t="shared" si="12"/>
        <v>0.5595199999999998</v>
      </c>
      <c r="U45" s="651">
        <f t="shared" si="12"/>
        <v>0.56889000000000034</v>
      </c>
      <c r="V45" s="651">
        <f t="shared" si="12"/>
        <v>0.57690000000000008</v>
      </c>
      <c r="W45" s="651">
        <f t="shared" si="12"/>
        <v>0.34306999999999993</v>
      </c>
      <c r="X45" s="651">
        <f t="shared" si="12"/>
        <v>0.36092000000000007</v>
      </c>
      <c r="Y45" s="651">
        <f t="shared" si="12"/>
        <v>0.37028000000000022</v>
      </c>
      <c r="Z45" s="651">
        <f t="shared" si="12"/>
        <v>0.37828999999999996</v>
      </c>
    </row>
    <row r="46" spans="1:26">
      <c r="C46" s="651">
        <f t="shared" ref="C46:Z46" si="13">C15/1000</f>
        <v>0</v>
      </c>
      <c r="D46" s="651">
        <f t="shared" si="13"/>
        <v>0</v>
      </c>
      <c r="E46" s="651">
        <f t="shared" si="13"/>
        <v>0</v>
      </c>
      <c r="F46" s="651">
        <f t="shared" si="13"/>
        <v>0</v>
      </c>
      <c r="G46" s="651">
        <f t="shared" si="13"/>
        <v>0</v>
      </c>
      <c r="H46" s="651">
        <f t="shared" si="13"/>
        <v>0</v>
      </c>
      <c r="I46" s="651">
        <f t="shared" si="13"/>
        <v>0</v>
      </c>
      <c r="J46" s="651">
        <f t="shared" si="13"/>
        <v>0</v>
      </c>
      <c r="K46" s="651">
        <f t="shared" si="13"/>
        <v>0</v>
      </c>
      <c r="L46" s="651">
        <f t="shared" si="13"/>
        <v>0</v>
      </c>
      <c r="M46" s="651">
        <f t="shared" si="13"/>
        <v>0</v>
      </c>
      <c r="N46" s="651">
        <f t="shared" si="13"/>
        <v>0</v>
      </c>
      <c r="O46" s="651">
        <f t="shared" si="13"/>
        <v>0</v>
      </c>
      <c r="P46" s="651">
        <f t="shared" si="13"/>
        <v>0</v>
      </c>
      <c r="Q46" s="651">
        <f t="shared" si="13"/>
        <v>0</v>
      </c>
      <c r="R46" s="651">
        <f t="shared" si="13"/>
        <v>0</v>
      </c>
      <c r="S46" s="651">
        <f t="shared" si="13"/>
        <v>0</v>
      </c>
      <c r="T46" s="651">
        <f t="shared" si="13"/>
        <v>0</v>
      </c>
      <c r="U46" s="651">
        <f t="shared" si="13"/>
        <v>0</v>
      </c>
      <c r="V46" s="651">
        <f t="shared" si="13"/>
        <v>0</v>
      </c>
      <c r="W46" s="651">
        <f t="shared" si="13"/>
        <v>0</v>
      </c>
      <c r="X46" s="651">
        <f t="shared" si="13"/>
        <v>0</v>
      </c>
      <c r="Y46" s="651">
        <f t="shared" si="13"/>
        <v>0</v>
      </c>
      <c r="Z46" s="651">
        <f t="shared" si="13"/>
        <v>0</v>
      </c>
    </row>
    <row r="47" spans="1:26">
      <c r="C47" s="651">
        <f t="shared" ref="C47:Z47" si="14">C16/1000</f>
        <v>0</v>
      </c>
      <c r="D47" s="651">
        <f t="shared" si="14"/>
        <v>0</v>
      </c>
      <c r="E47" s="651">
        <f t="shared" si="14"/>
        <v>0</v>
      </c>
      <c r="F47" s="651">
        <f t="shared" si="14"/>
        <v>0</v>
      </c>
      <c r="G47" s="651">
        <f t="shared" si="14"/>
        <v>0</v>
      </c>
      <c r="H47" s="651">
        <f t="shared" si="14"/>
        <v>0</v>
      </c>
      <c r="I47" s="651">
        <f t="shared" si="14"/>
        <v>0</v>
      </c>
      <c r="J47" s="651">
        <f t="shared" si="14"/>
        <v>0</v>
      </c>
      <c r="K47" s="651">
        <f t="shared" si="14"/>
        <v>0</v>
      </c>
      <c r="L47" s="651">
        <f t="shared" si="14"/>
        <v>0</v>
      </c>
      <c r="M47" s="651">
        <f t="shared" si="14"/>
        <v>0</v>
      </c>
      <c r="N47" s="651">
        <f t="shared" si="14"/>
        <v>0</v>
      </c>
      <c r="O47" s="651">
        <f t="shared" si="14"/>
        <v>0</v>
      </c>
      <c r="P47" s="651">
        <f t="shared" si="14"/>
        <v>0</v>
      </c>
      <c r="Q47" s="651">
        <f t="shared" si="14"/>
        <v>0</v>
      </c>
      <c r="R47" s="651">
        <f t="shared" si="14"/>
        <v>0</v>
      </c>
      <c r="S47" s="651">
        <f t="shared" si="14"/>
        <v>0</v>
      </c>
      <c r="T47" s="651">
        <f t="shared" si="14"/>
        <v>0</v>
      </c>
      <c r="U47" s="651">
        <f t="shared" si="14"/>
        <v>0</v>
      </c>
      <c r="V47" s="651">
        <f t="shared" si="14"/>
        <v>0</v>
      </c>
      <c r="W47" s="651">
        <f t="shared" si="14"/>
        <v>0</v>
      </c>
      <c r="X47" s="651">
        <f t="shared" si="14"/>
        <v>0</v>
      </c>
      <c r="Y47" s="651">
        <f t="shared" si="14"/>
        <v>0</v>
      </c>
      <c r="Z47" s="651">
        <f t="shared" si="14"/>
        <v>0</v>
      </c>
    </row>
    <row r="48" spans="1:26">
      <c r="C48" s="651" t="e">
        <f t="shared" ref="C48:Z48" si="15">C17/1000</f>
        <v>#VALUE!</v>
      </c>
      <c r="D48" s="651">
        <f t="shared" si="15"/>
        <v>0</v>
      </c>
      <c r="E48" s="651">
        <f t="shared" si="15"/>
        <v>0</v>
      </c>
      <c r="F48" s="651">
        <f t="shared" si="15"/>
        <v>0</v>
      </c>
      <c r="G48" s="651" t="e">
        <f t="shared" si="15"/>
        <v>#VALUE!</v>
      </c>
      <c r="H48" s="651">
        <f t="shared" si="15"/>
        <v>0</v>
      </c>
      <c r="I48" s="651">
        <f t="shared" si="15"/>
        <v>0</v>
      </c>
      <c r="J48" s="651">
        <f t="shared" si="15"/>
        <v>0</v>
      </c>
      <c r="K48" s="651" t="e">
        <f t="shared" si="15"/>
        <v>#VALUE!</v>
      </c>
      <c r="L48" s="651">
        <f t="shared" si="15"/>
        <v>0</v>
      </c>
      <c r="M48" s="651">
        <f t="shared" si="15"/>
        <v>0</v>
      </c>
      <c r="N48" s="651">
        <f t="shared" si="15"/>
        <v>0</v>
      </c>
      <c r="O48" s="651" t="e">
        <f t="shared" si="15"/>
        <v>#VALUE!</v>
      </c>
      <c r="P48" s="651">
        <f t="shared" si="15"/>
        <v>0</v>
      </c>
      <c r="Q48" s="651">
        <f t="shared" si="15"/>
        <v>0</v>
      </c>
      <c r="R48" s="651">
        <f t="shared" si="15"/>
        <v>0</v>
      </c>
      <c r="S48" s="651" t="e">
        <f t="shared" si="15"/>
        <v>#VALUE!</v>
      </c>
      <c r="T48" s="651">
        <f t="shared" si="15"/>
        <v>0</v>
      </c>
      <c r="U48" s="651">
        <f t="shared" si="15"/>
        <v>0</v>
      </c>
      <c r="V48" s="651">
        <f t="shared" si="15"/>
        <v>0</v>
      </c>
      <c r="W48" s="651" t="e">
        <f t="shared" si="15"/>
        <v>#VALUE!</v>
      </c>
      <c r="X48" s="651">
        <f t="shared" si="15"/>
        <v>0</v>
      </c>
      <c r="Y48" s="651">
        <f t="shared" si="15"/>
        <v>0</v>
      </c>
      <c r="Z48" s="651">
        <f t="shared" si="15"/>
        <v>0</v>
      </c>
    </row>
    <row r="49" spans="3:26">
      <c r="C49" s="651" t="e">
        <f t="shared" ref="C49:Z49" si="16">C18/1000</f>
        <v>#VALUE!</v>
      </c>
      <c r="D49" s="651" t="e">
        <f t="shared" si="16"/>
        <v>#VALUE!</v>
      </c>
      <c r="E49" s="651" t="e">
        <f t="shared" si="16"/>
        <v>#VALUE!</v>
      </c>
      <c r="F49" s="651" t="e">
        <f t="shared" si="16"/>
        <v>#VALUE!</v>
      </c>
      <c r="G49" s="651" t="e">
        <f t="shared" si="16"/>
        <v>#VALUE!</v>
      </c>
      <c r="H49" s="651" t="e">
        <f t="shared" si="16"/>
        <v>#VALUE!</v>
      </c>
      <c r="I49" s="651" t="e">
        <f t="shared" si="16"/>
        <v>#VALUE!</v>
      </c>
      <c r="J49" s="651" t="e">
        <f t="shared" si="16"/>
        <v>#VALUE!</v>
      </c>
      <c r="K49" s="651" t="e">
        <f t="shared" si="16"/>
        <v>#VALUE!</v>
      </c>
      <c r="L49" s="651" t="e">
        <f t="shared" si="16"/>
        <v>#VALUE!</v>
      </c>
      <c r="M49" s="651" t="e">
        <f t="shared" si="16"/>
        <v>#VALUE!</v>
      </c>
      <c r="N49" s="651" t="e">
        <f t="shared" si="16"/>
        <v>#VALUE!</v>
      </c>
      <c r="O49" s="651" t="e">
        <f t="shared" si="16"/>
        <v>#VALUE!</v>
      </c>
      <c r="P49" s="651" t="e">
        <f t="shared" si="16"/>
        <v>#VALUE!</v>
      </c>
      <c r="Q49" s="651" t="e">
        <f t="shared" si="16"/>
        <v>#VALUE!</v>
      </c>
      <c r="R49" s="651" t="e">
        <f t="shared" si="16"/>
        <v>#VALUE!</v>
      </c>
      <c r="S49" s="651" t="e">
        <f t="shared" si="16"/>
        <v>#VALUE!</v>
      </c>
      <c r="T49" s="651" t="e">
        <f t="shared" si="16"/>
        <v>#VALUE!</v>
      </c>
      <c r="U49" s="651" t="e">
        <f t="shared" si="16"/>
        <v>#VALUE!</v>
      </c>
      <c r="V49" s="651" t="e">
        <f t="shared" si="16"/>
        <v>#VALUE!</v>
      </c>
      <c r="W49" s="651" t="e">
        <f t="shared" si="16"/>
        <v>#VALUE!</v>
      </c>
      <c r="X49" s="651" t="e">
        <f t="shared" si="16"/>
        <v>#VALUE!</v>
      </c>
      <c r="Y49" s="651" t="e">
        <f t="shared" si="16"/>
        <v>#VALUE!</v>
      </c>
      <c r="Z49" s="651" t="e">
        <f t="shared" si="16"/>
        <v>#VALUE!</v>
      </c>
    </row>
    <row r="50" spans="3:26">
      <c r="C50" s="651">
        <f t="shared" ref="C50:Z50" si="17">C19/1000</f>
        <v>0.33597524999999995</v>
      </c>
      <c r="D50" s="651">
        <f t="shared" si="17"/>
        <v>0.30109039999999976</v>
      </c>
      <c r="E50" s="651">
        <f t="shared" si="17"/>
        <v>0.28278054999999985</v>
      </c>
      <c r="F50" s="651">
        <f t="shared" si="17"/>
        <v>0.26710059999999974</v>
      </c>
      <c r="G50" s="651">
        <f t="shared" si="17"/>
        <v>1.1119836000000003</v>
      </c>
      <c r="H50" s="651">
        <f t="shared" si="17"/>
        <v>1.0771098000000003</v>
      </c>
      <c r="I50" s="651">
        <f t="shared" si="17"/>
        <v>1.0587889000000001</v>
      </c>
      <c r="J50" s="651">
        <f t="shared" si="17"/>
        <v>1.0431089500000004</v>
      </c>
      <c r="K50" s="651">
        <f t="shared" si="17"/>
        <v>0.8168601999999997</v>
      </c>
      <c r="L50" s="651">
        <f t="shared" si="17"/>
        <v>0.78197535000000007</v>
      </c>
      <c r="M50" s="651">
        <f t="shared" si="17"/>
        <v>0.76366549999999989</v>
      </c>
      <c r="N50" s="651">
        <f t="shared" si="17"/>
        <v>0.74798555000000033</v>
      </c>
      <c r="O50" s="651">
        <f t="shared" si="17"/>
        <v>0.6481819499999999</v>
      </c>
      <c r="P50" s="651">
        <f t="shared" si="17"/>
        <v>0.61329710000000026</v>
      </c>
      <c r="Q50" s="651">
        <f t="shared" si="17"/>
        <v>0.59498724999999997</v>
      </c>
      <c r="R50" s="651">
        <f t="shared" si="17"/>
        <v>0.57930729999999975</v>
      </c>
      <c r="S50" s="651">
        <f t="shared" si="17"/>
        <v>0.58751745000000011</v>
      </c>
      <c r="T50" s="651">
        <f t="shared" si="17"/>
        <v>0.55264365000000037</v>
      </c>
      <c r="U50" s="651">
        <f t="shared" si="17"/>
        <v>0.53432275000000018</v>
      </c>
      <c r="V50" s="651">
        <f t="shared" si="17"/>
        <v>0.51865385000000019</v>
      </c>
      <c r="W50" s="651">
        <f t="shared" si="17"/>
        <v>0.29793010000000014</v>
      </c>
      <c r="X50" s="651">
        <f t="shared" si="17"/>
        <v>0.26305630000000019</v>
      </c>
      <c r="Y50" s="651">
        <f t="shared" si="17"/>
        <v>0.24473540000000002</v>
      </c>
      <c r="Z50" s="651">
        <f t="shared" si="17"/>
        <v>0.22906649999999992</v>
      </c>
    </row>
    <row r="51" spans="3:26">
      <c r="C51" s="651">
        <f t="shared" ref="C51:Z51" si="18">C20/1000</f>
        <v>0.3256103500000001</v>
      </c>
      <c r="D51" s="651">
        <f t="shared" si="18"/>
        <v>0.29073654999999993</v>
      </c>
      <c r="E51" s="651">
        <f t="shared" si="18"/>
        <v>0.27242669999999997</v>
      </c>
      <c r="F51" s="651">
        <f t="shared" si="18"/>
        <v>0.25674674999999991</v>
      </c>
      <c r="G51" s="651">
        <f t="shared" si="18"/>
        <v>1.0950550000000001</v>
      </c>
      <c r="H51" s="651">
        <f t="shared" si="18"/>
        <v>1.0601812000000002</v>
      </c>
      <c r="I51" s="651">
        <f t="shared" si="18"/>
        <v>1.0418603</v>
      </c>
      <c r="J51" s="651">
        <f t="shared" si="18"/>
        <v>1.0261913999999996</v>
      </c>
      <c r="K51" s="651">
        <f t="shared" si="18"/>
        <v>0.80319135000000019</v>
      </c>
      <c r="L51" s="651">
        <f t="shared" si="18"/>
        <v>0.76830649999999989</v>
      </c>
      <c r="M51" s="651">
        <f t="shared" si="18"/>
        <v>0.74999664999999971</v>
      </c>
      <c r="N51" s="651">
        <f t="shared" si="18"/>
        <v>0.73431670000000016</v>
      </c>
      <c r="O51" s="651">
        <f t="shared" si="18"/>
        <v>0.63539710000000005</v>
      </c>
      <c r="P51" s="651">
        <f t="shared" si="18"/>
        <v>0.60051224999999997</v>
      </c>
      <c r="Q51" s="651">
        <f t="shared" si="18"/>
        <v>0.58220240000000012</v>
      </c>
      <c r="R51" s="651">
        <f t="shared" si="18"/>
        <v>0.56652245000000001</v>
      </c>
      <c r="S51" s="651">
        <f t="shared" si="18"/>
        <v>0.5768762999999999</v>
      </c>
      <c r="T51" s="651">
        <f t="shared" si="18"/>
        <v>0.54200249999999994</v>
      </c>
      <c r="U51" s="651">
        <f t="shared" si="18"/>
        <v>0.52369264999999987</v>
      </c>
      <c r="V51" s="651">
        <f t="shared" si="18"/>
        <v>0.50801269999999976</v>
      </c>
      <c r="W51" s="651">
        <f t="shared" si="18"/>
        <v>0.2907144499999999</v>
      </c>
      <c r="X51" s="651">
        <f t="shared" si="18"/>
        <v>0.25584065000000022</v>
      </c>
      <c r="Y51" s="651">
        <f t="shared" si="18"/>
        <v>0.23751975000000031</v>
      </c>
      <c r="Z51" s="651">
        <f t="shared" si="18"/>
        <v>0.2218398</v>
      </c>
    </row>
    <row r="52" spans="3:26">
      <c r="C52" s="651">
        <f t="shared" ref="C52:Z52" si="19">C21/1000</f>
        <v>0.26313364999999989</v>
      </c>
      <c r="D52" s="651">
        <f t="shared" si="19"/>
        <v>0.22824879999999967</v>
      </c>
      <c r="E52" s="651">
        <f t="shared" si="19"/>
        <v>0.20993894999999976</v>
      </c>
      <c r="F52" s="651">
        <f t="shared" si="19"/>
        <v>0.19425899999999971</v>
      </c>
      <c r="G52" s="651">
        <f t="shared" si="19"/>
        <v>0.99368229999999969</v>
      </c>
      <c r="H52" s="651">
        <f t="shared" si="19"/>
        <v>0.95879745000000027</v>
      </c>
      <c r="I52" s="651">
        <f t="shared" si="19"/>
        <v>0.94048760000000042</v>
      </c>
      <c r="J52" s="651">
        <f t="shared" si="19"/>
        <v>0.92480765000000031</v>
      </c>
      <c r="K52" s="651">
        <f t="shared" si="19"/>
        <v>0.72125560000000011</v>
      </c>
      <c r="L52" s="651">
        <f t="shared" si="19"/>
        <v>0.68638180000000037</v>
      </c>
      <c r="M52" s="651">
        <f t="shared" si="19"/>
        <v>0.66806090000000018</v>
      </c>
      <c r="N52" s="651">
        <f t="shared" si="19"/>
        <v>0.65239200000000064</v>
      </c>
      <c r="O52" s="651">
        <f t="shared" si="19"/>
        <v>0.55866589999999994</v>
      </c>
      <c r="P52" s="651">
        <f t="shared" si="19"/>
        <v>0.52379209999999998</v>
      </c>
      <c r="Q52" s="651">
        <f t="shared" si="19"/>
        <v>0.50547120000000012</v>
      </c>
      <c r="R52" s="651">
        <f t="shared" si="19"/>
        <v>0.48980229999999969</v>
      </c>
      <c r="S52" s="651">
        <f t="shared" si="19"/>
        <v>0.51302940000000019</v>
      </c>
      <c r="T52" s="651">
        <f t="shared" si="19"/>
        <v>0.47815560000000029</v>
      </c>
      <c r="U52" s="651">
        <f t="shared" si="19"/>
        <v>0.45983470000000032</v>
      </c>
      <c r="V52" s="651">
        <f t="shared" si="19"/>
        <v>0.44416580000000028</v>
      </c>
      <c r="W52" s="651">
        <f t="shared" si="19"/>
        <v>0.24725480000000025</v>
      </c>
      <c r="X52" s="651">
        <f t="shared" si="19"/>
        <v>0.21236995000000031</v>
      </c>
      <c r="Y52" s="651">
        <f t="shared" si="19"/>
        <v>0.19406010000000012</v>
      </c>
      <c r="Z52" s="651">
        <f t="shared" si="19"/>
        <v>0.17838015000000007</v>
      </c>
    </row>
    <row r="53" spans="3:26">
      <c r="C53" s="651">
        <f t="shared" ref="C53:Z53" si="20">C22/1000</f>
        <v>0.21284510000000012</v>
      </c>
      <c r="D53" s="651">
        <f t="shared" si="20"/>
        <v>0.17797129999999944</v>
      </c>
      <c r="E53" s="651">
        <f t="shared" si="20"/>
        <v>0.15965040000000003</v>
      </c>
      <c r="F53" s="651">
        <f t="shared" si="20"/>
        <v>0.14398149999999971</v>
      </c>
      <c r="G53" s="651">
        <f t="shared" si="20"/>
        <v>0.91196754999999996</v>
      </c>
      <c r="H53" s="651">
        <f t="shared" si="20"/>
        <v>0.87709375000000001</v>
      </c>
      <c r="I53" s="651">
        <f t="shared" si="20"/>
        <v>0.85878390000000004</v>
      </c>
      <c r="J53" s="651">
        <f t="shared" si="20"/>
        <v>0.84310394999999971</v>
      </c>
      <c r="K53" s="651">
        <f t="shared" si="20"/>
        <v>0.65523185000000028</v>
      </c>
      <c r="L53" s="651">
        <f t="shared" si="20"/>
        <v>0.62035805000000033</v>
      </c>
      <c r="M53" s="651">
        <f t="shared" si="20"/>
        <v>0.60204820000000014</v>
      </c>
      <c r="N53" s="651">
        <f t="shared" si="20"/>
        <v>0.58636825000000059</v>
      </c>
      <c r="O53" s="651">
        <f t="shared" si="20"/>
        <v>0.49686324999999981</v>
      </c>
      <c r="P53" s="651">
        <f t="shared" si="20"/>
        <v>0.46197840000000012</v>
      </c>
      <c r="Q53" s="651">
        <f t="shared" si="20"/>
        <v>0.44366854999999999</v>
      </c>
      <c r="R53" s="651">
        <f t="shared" si="20"/>
        <v>0.42798860000000016</v>
      </c>
      <c r="S53" s="651">
        <f t="shared" si="20"/>
        <v>0.46160269999999975</v>
      </c>
      <c r="T53" s="651">
        <f t="shared" si="20"/>
        <v>0.42671785000000007</v>
      </c>
      <c r="U53" s="651">
        <f t="shared" si="20"/>
        <v>0.40840799999999988</v>
      </c>
      <c r="V53" s="651">
        <f t="shared" si="20"/>
        <v>0.39272805000000011</v>
      </c>
      <c r="W53" s="651">
        <f t="shared" si="20"/>
        <v>0.21223734999999994</v>
      </c>
      <c r="X53" s="651">
        <f t="shared" si="20"/>
        <v>0.17736355000000023</v>
      </c>
      <c r="Y53" s="651">
        <f t="shared" si="20"/>
        <v>0.15905370000000005</v>
      </c>
      <c r="Z53" s="651">
        <f t="shared" si="20"/>
        <v>0.14337374999999999</v>
      </c>
    </row>
    <row r="54" spans="3:26">
      <c r="C54" s="651" t="e">
        <f t="shared" ref="C54:Z54" si="21">C23/1000</f>
        <v>#VALUE!</v>
      </c>
      <c r="D54" s="651">
        <f t="shared" si="21"/>
        <v>0</v>
      </c>
      <c r="E54" s="651">
        <f t="shared" si="21"/>
        <v>0</v>
      </c>
      <c r="F54" s="651">
        <f t="shared" si="21"/>
        <v>0</v>
      </c>
      <c r="G54" s="651" t="e">
        <f t="shared" si="21"/>
        <v>#VALUE!</v>
      </c>
      <c r="H54" s="651">
        <f t="shared" si="21"/>
        <v>0</v>
      </c>
      <c r="I54" s="651">
        <f t="shared" si="21"/>
        <v>0</v>
      </c>
      <c r="J54" s="651">
        <f t="shared" si="21"/>
        <v>0</v>
      </c>
      <c r="K54" s="651" t="e">
        <f t="shared" si="21"/>
        <v>#VALUE!</v>
      </c>
      <c r="L54" s="651">
        <f t="shared" si="21"/>
        <v>0</v>
      </c>
      <c r="M54" s="651">
        <f t="shared" si="21"/>
        <v>0</v>
      </c>
      <c r="N54" s="651">
        <f t="shared" si="21"/>
        <v>0</v>
      </c>
      <c r="O54" s="651" t="e">
        <f t="shared" si="21"/>
        <v>#VALUE!</v>
      </c>
      <c r="P54" s="651">
        <f t="shared" si="21"/>
        <v>0</v>
      </c>
      <c r="Q54" s="651">
        <f t="shared" si="21"/>
        <v>0</v>
      </c>
      <c r="R54" s="651">
        <f t="shared" si="21"/>
        <v>0</v>
      </c>
      <c r="S54" s="651" t="e">
        <f t="shared" si="21"/>
        <v>#VALUE!</v>
      </c>
      <c r="T54" s="651">
        <f t="shared" si="21"/>
        <v>0</v>
      </c>
      <c r="U54" s="651">
        <f t="shared" si="21"/>
        <v>0</v>
      </c>
      <c r="V54" s="651">
        <f t="shared" si="21"/>
        <v>0</v>
      </c>
      <c r="W54" s="651" t="e">
        <f t="shared" si="21"/>
        <v>#VALUE!</v>
      </c>
      <c r="X54" s="651">
        <f t="shared" si="21"/>
        <v>0</v>
      </c>
      <c r="Y54" s="651">
        <f t="shared" si="21"/>
        <v>0</v>
      </c>
      <c r="Z54" s="651">
        <f t="shared" si="21"/>
        <v>0</v>
      </c>
    </row>
    <row r="55" spans="3:26">
      <c r="C55" s="651" t="e">
        <f t="shared" ref="C55:Z55" si="22">C24/1000</f>
        <v>#VALUE!</v>
      </c>
      <c r="D55" s="651" t="e">
        <f t="shared" si="22"/>
        <v>#VALUE!</v>
      </c>
      <c r="E55" s="651" t="e">
        <f t="shared" si="22"/>
        <v>#VALUE!</v>
      </c>
      <c r="F55" s="651" t="e">
        <f t="shared" si="22"/>
        <v>#VALUE!</v>
      </c>
      <c r="G55" s="651" t="e">
        <f t="shared" si="22"/>
        <v>#VALUE!</v>
      </c>
      <c r="H55" s="651" t="e">
        <f t="shared" si="22"/>
        <v>#VALUE!</v>
      </c>
      <c r="I55" s="651" t="e">
        <f t="shared" si="22"/>
        <v>#VALUE!</v>
      </c>
      <c r="J55" s="651" t="e">
        <f t="shared" si="22"/>
        <v>#VALUE!</v>
      </c>
      <c r="K55" s="651" t="e">
        <f t="shared" si="22"/>
        <v>#VALUE!</v>
      </c>
      <c r="L55" s="651" t="e">
        <f t="shared" si="22"/>
        <v>#VALUE!</v>
      </c>
      <c r="M55" s="651" t="e">
        <f t="shared" si="22"/>
        <v>#VALUE!</v>
      </c>
      <c r="N55" s="651" t="e">
        <f t="shared" si="22"/>
        <v>#VALUE!</v>
      </c>
      <c r="O55" s="651" t="e">
        <f t="shared" si="22"/>
        <v>#VALUE!</v>
      </c>
      <c r="P55" s="651" t="e">
        <f t="shared" si="22"/>
        <v>#VALUE!</v>
      </c>
      <c r="Q55" s="651" t="e">
        <f t="shared" si="22"/>
        <v>#VALUE!</v>
      </c>
      <c r="R55" s="651" t="e">
        <f t="shared" si="22"/>
        <v>#VALUE!</v>
      </c>
      <c r="S55" s="651" t="e">
        <f t="shared" si="22"/>
        <v>#VALUE!</v>
      </c>
      <c r="T55" s="651" t="e">
        <f t="shared" si="22"/>
        <v>#VALUE!</v>
      </c>
      <c r="U55" s="651" t="e">
        <f t="shared" si="22"/>
        <v>#VALUE!</v>
      </c>
      <c r="V55" s="651" t="e">
        <f t="shared" si="22"/>
        <v>#VALUE!</v>
      </c>
      <c r="W55" s="651" t="e">
        <f t="shared" si="22"/>
        <v>#VALUE!</v>
      </c>
      <c r="X55" s="651" t="e">
        <f t="shared" si="22"/>
        <v>#VALUE!</v>
      </c>
      <c r="Y55" s="651" t="e">
        <f t="shared" si="22"/>
        <v>#VALUE!</v>
      </c>
      <c r="Z55" s="651" t="e">
        <f t="shared" si="22"/>
        <v>#VALUE!</v>
      </c>
    </row>
    <row r="56" spans="3:26">
      <c r="C56" s="651">
        <f t="shared" ref="C56:Z56" si="23">C25/1000</f>
        <v>0.44769074999999986</v>
      </c>
      <c r="D56" s="651">
        <f t="shared" si="23"/>
        <v>0.46740395000000001</v>
      </c>
      <c r="E56" s="651">
        <f t="shared" si="23"/>
        <v>0.47775780000000012</v>
      </c>
      <c r="F56" s="651">
        <f t="shared" si="23"/>
        <v>0.48660884999999987</v>
      </c>
      <c r="G56" s="651">
        <f t="shared" si="23"/>
        <v>0.24518845000000011</v>
      </c>
      <c r="H56" s="651">
        <f t="shared" si="23"/>
        <v>0.26491270000000028</v>
      </c>
      <c r="I56" s="651">
        <f t="shared" si="23"/>
        <v>0.27525550000000015</v>
      </c>
      <c r="J56" s="651">
        <f t="shared" si="23"/>
        <v>0.28410655000000012</v>
      </c>
      <c r="K56" s="651">
        <f t="shared" si="23"/>
        <v>0.43244175000000012</v>
      </c>
      <c r="L56" s="651">
        <f t="shared" si="23"/>
        <v>0.45216599999999979</v>
      </c>
      <c r="M56" s="651">
        <f t="shared" si="23"/>
        <v>0.46250879999999966</v>
      </c>
      <c r="N56" s="651">
        <f t="shared" si="23"/>
        <v>0.47137089999999987</v>
      </c>
      <c r="O56" s="651">
        <f t="shared" si="23"/>
        <v>0.62293270000000001</v>
      </c>
      <c r="P56" s="651">
        <f t="shared" si="23"/>
        <v>0.64264589999999988</v>
      </c>
      <c r="Q56" s="651">
        <f t="shared" si="23"/>
        <v>0.6529997500000001</v>
      </c>
      <c r="R56" s="651">
        <f t="shared" si="23"/>
        <v>0.66185079999999952</v>
      </c>
      <c r="S56" s="651">
        <f t="shared" si="23"/>
        <v>0.64037098125000003</v>
      </c>
      <c r="T56" s="651">
        <f t="shared" si="23"/>
        <v>0.66236352000000009</v>
      </c>
      <c r="U56" s="651">
        <f t="shared" si="23"/>
        <v>0.67389574200000002</v>
      </c>
      <c r="V56" s="651">
        <f t="shared" si="23"/>
        <v>0.6837646627499997</v>
      </c>
      <c r="W56" s="651">
        <f t="shared" si="23"/>
        <v>0.38465381499999973</v>
      </c>
      <c r="X56" s="651">
        <f t="shared" si="23"/>
        <v>0.40664635375000024</v>
      </c>
      <c r="Y56" s="651">
        <f t="shared" si="23"/>
        <v>0.41817857574999984</v>
      </c>
      <c r="Z56" s="651">
        <f t="shared" si="23"/>
        <v>0.42805981725000031</v>
      </c>
    </row>
    <row r="57" spans="3:26">
      <c r="C57" s="651">
        <f t="shared" ref="C57:Z57" si="24">C26/1000</f>
        <v>0.4526853500000001</v>
      </c>
      <c r="D57" s="651">
        <f t="shared" si="24"/>
        <v>0.47240960000000026</v>
      </c>
      <c r="E57" s="651">
        <f t="shared" si="24"/>
        <v>0.48275240000000036</v>
      </c>
      <c r="F57" s="651">
        <f t="shared" si="24"/>
        <v>0.49160345000000011</v>
      </c>
      <c r="G57" s="651">
        <f t="shared" si="24"/>
        <v>0.25317760000000011</v>
      </c>
      <c r="H57" s="651">
        <f t="shared" si="24"/>
        <v>0.27290185000000028</v>
      </c>
      <c r="I57" s="651">
        <f t="shared" si="24"/>
        <v>0.28324465000000015</v>
      </c>
      <c r="J57" s="651">
        <f t="shared" si="24"/>
        <v>0.29210675000000036</v>
      </c>
      <c r="K57" s="651">
        <f t="shared" si="24"/>
        <v>0.43420975000000006</v>
      </c>
      <c r="L57" s="651">
        <f t="shared" si="24"/>
        <v>0.45393399999999995</v>
      </c>
      <c r="M57" s="651">
        <f t="shared" si="24"/>
        <v>0.46427679999999982</v>
      </c>
      <c r="N57" s="651">
        <f t="shared" si="24"/>
        <v>0.47313890000000003</v>
      </c>
      <c r="O57" s="651">
        <f t="shared" si="24"/>
        <v>0.62392720000000013</v>
      </c>
      <c r="P57" s="651">
        <f t="shared" si="24"/>
        <v>0.64365144999999968</v>
      </c>
      <c r="Q57" s="651">
        <f t="shared" si="24"/>
        <v>0.65400529999999957</v>
      </c>
      <c r="R57" s="651">
        <f t="shared" si="24"/>
        <v>0.66285634999999932</v>
      </c>
      <c r="S57" s="651">
        <f t="shared" si="24"/>
        <v>0.64277352750000005</v>
      </c>
      <c r="T57" s="651">
        <f t="shared" si="24"/>
        <v>0.66476606624999968</v>
      </c>
      <c r="U57" s="651">
        <f t="shared" si="24"/>
        <v>0.67629828825000027</v>
      </c>
      <c r="V57" s="651">
        <f t="shared" si="24"/>
        <v>0.68616720900000006</v>
      </c>
      <c r="W57" s="651">
        <f t="shared" si="24"/>
        <v>0.38801737974999978</v>
      </c>
      <c r="X57" s="651">
        <f t="shared" si="24"/>
        <v>0.41000991850000018</v>
      </c>
      <c r="Y57" s="651">
        <f t="shared" si="24"/>
        <v>0.42154214049999983</v>
      </c>
      <c r="Z57" s="651">
        <f t="shared" si="24"/>
        <v>0.43142338200000041</v>
      </c>
    </row>
    <row r="58" spans="3:26">
      <c r="C58" s="651">
        <f t="shared" ref="C58:Z58" si="25">C27/1000</f>
        <v>0.48273030000000011</v>
      </c>
      <c r="D58" s="651">
        <f t="shared" si="25"/>
        <v>0.50245455000000006</v>
      </c>
      <c r="E58" s="651">
        <f t="shared" si="25"/>
        <v>0.51280840000000016</v>
      </c>
      <c r="F58" s="651">
        <f t="shared" si="25"/>
        <v>0.52165944999999991</v>
      </c>
      <c r="G58" s="651">
        <f t="shared" si="25"/>
        <v>0.3011346000000002</v>
      </c>
      <c r="H58" s="651">
        <f t="shared" si="25"/>
        <v>0.3208478000000004</v>
      </c>
      <c r="I58" s="651">
        <f t="shared" si="25"/>
        <v>0.33120165000000001</v>
      </c>
      <c r="J58" s="651">
        <f t="shared" si="25"/>
        <v>0.34005270000000026</v>
      </c>
      <c r="K58" s="651">
        <f t="shared" si="25"/>
        <v>0.44417685000000001</v>
      </c>
      <c r="L58" s="651">
        <f t="shared" si="25"/>
        <v>0.46390110000000018</v>
      </c>
      <c r="M58" s="651">
        <f t="shared" si="25"/>
        <v>0.47425495000000006</v>
      </c>
      <c r="N58" s="651">
        <f t="shared" si="25"/>
        <v>0.48310600000000026</v>
      </c>
      <c r="O58" s="651">
        <f t="shared" si="25"/>
        <v>0.62951849999999998</v>
      </c>
      <c r="P58" s="651">
        <f t="shared" si="25"/>
        <v>0.64923169999999975</v>
      </c>
      <c r="Q58" s="651">
        <f t="shared" si="25"/>
        <v>0.65958554999999952</v>
      </c>
      <c r="R58" s="651">
        <f t="shared" si="25"/>
        <v>0.66843659999999927</v>
      </c>
      <c r="S58" s="651">
        <f t="shared" si="25"/>
        <v>0.65636331475000009</v>
      </c>
      <c r="T58" s="651">
        <f t="shared" si="25"/>
        <v>0.67834353275000026</v>
      </c>
      <c r="U58" s="651">
        <f t="shared" si="25"/>
        <v>0.68988807549999998</v>
      </c>
      <c r="V58" s="651">
        <f t="shared" si="25"/>
        <v>0.69975699624999976</v>
      </c>
      <c r="W58" s="651">
        <f t="shared" si="25"/>
        <v>0.40715150449999976</v>
      </c>
      <c r="X58" s="651">
        <f t="shared" si="25"/>
        <v>0.42914404324999994</v>
      </c>
      <c r="Y58" s="651">
        <f t="shared" si="25"/>
        <v>0.44068858599999983</v>
      </c>
      <c r="Z58" s="651">
        <f t="shared" si="25"/>
        <v>0.45055750675000006</v>
      </c>
    </row>
    <row r="59" spans="3:26">
      <c r="C59" s="651">
        <f t="shared" ref="C59:Z59" si="26">C28/1000</f>
        <v>0.50689665000000028</v>
      </c>
      <c r="D59" s="651">
        <f t="shared" si="26"/>
        <v>0.52660985000000016</v>
      </c>
      <c r="E59" s="651">
        <f t="shared" si="26"/>
        <v>0.53696370000000038</v>
      </c>
      <c r="F59" s="651">
        <f t="shared" si="26"/>
        <v>0.54581475000000002</v>
      </c>
      <c r="G59" s="651">
        <f t="shared" si="26"/>
        <v>0.33971015000000004</v>
      </c>
      <c r="H59" s="651">
        <f t="shared" si="26"/>
        <v>0.3594233500000002</v>
      </c>
      <c r="I59" s="651">
        <f t="shared" si="26"/>
        <v>0.36977720000000008</v>
      </c>
      <c r="J59" s="651">
        <f t="shared" si="26"/>
        <v>0.37862825000000033</v>
      </c>
      <c r="K59" s="651">
        <f t="shared" si="26"/>
        <v>0.45227649999999991</v>
      </c>
      <c r="L59" s="651">
        <f t="shared" si="26"/>
        <v>0.47200075000000008</v>
      </c>
      <c r="M59" s="651">
        <f t="shared" si="26"/>
        <v>0.48234355000000001</v>
      </c>
      <c r="N59" s="651">
        <f t="shared" si="26"/>
        <v>0.49120565000000022</v>
      </c>
      <c r="O59" s="651">
        <f t="shared" si="26"/>
        <v>0.63403794999999996</v>
      </c>
      <c r="P59" s="651">
        <f t="shared" si="26"/>
        <v>0.65376219999999985</v>
      </c>
      <c r="Q59" s="651">
        <f t="shared" si="26"/>
        <v>0.66410499999999983</v>
      </c>
      <c r="R59" s="651">
        <f t="shared" si="26"/>
        <v>0.67296709999999949</v>
      </c>
      <c r="S59" s="651">
        <f t="shared" si="26"/>
        <v>0.6673780652500001</v>
      </c>
      <c r="T59" s="651">
        <f t="shared" si="26"/>
        <v>0.68937060399999972</v>
      </c>
      <c r="U59" s="651">
        <f t="shared" si="26"/>
        <v>0.70091514675000044</v>
      </c>
      <c r="V59" s="651">
        <f t="shared" si="26"/>
        <v>0.71078406750000001</v>
      </c>
      <c r="W59" s="651">
        <f t="shared" si="26"/>
        <v>0.42268797024999988</v>
      </c>
      <c r="X59" s="651">
        <f t="shared" si="26"/>
        <v>0.44468050900000011</v>
      </c>
      <c r="Y59" s="651">
        <f t="shared" si="26"/>
        <v>0.4562127310000002</v>
      </c>
      <c r="Z59" s="651">
        <f t="shared" si="26"/>
        <v>0.46608165174999999</v>
      </c>
    </row>
    <row r="60" spans="3:26">
      <c r="C60" s="651">
        <f t="shared" ref="C60:Z60" si="27">C29/1000</f>
        <v>0</v>
      </c>
      <c r="D60" s="651">
        <f t="shared" si="27"/>
        <v>0</v>
      </c>
      <c r="E60" s="651">
        <f t="shared" si="27"/>
        <v>0</v>
      </c>
      <c r="F60" s="651">
        <f t="shared" si="27"/>
        <v>0</v>
      </c>
      <c r="G60" s="651">
        <f t="shared" si="27"/>
        <v>0</v>
      </c>
      <c r="H60" s="651">
        <f t="shared" si="27"/>
        <v>0</v>
      </c>
      <c r="I60" s="651">
        <f t="shared" si="27"/>
        <v>0</v>
      </c>
      <c r="J60" s="651">
        <f t="shared" si="27"/>
        <v>0</v>
      </c>
      <c r="K60" s="651">
        <f t="shared" si="27"/>
        <v>0</v>
      </c>
      <c r="L60" s="651">
        <f t="shared" si="27"/>
        <v>0</v>
      </c>
      <c r="M60" s="651">
        <f t="shared" si="27"/>
        <v>0</v>
      </c>
      <c r="N60" s="651">
        <f t="shared" si="27"/>
        <v>0</v>
      </c>
      <c r="O60" s="651">
        <f t="shared" si="27"/>
        <v>0</v>
      </c>
      <c r="P60" s="651">
        <f t="shared" si="27"/>
        <v>0</v>
      </c>
      <c r="Q60" s="651">
        <f t="shared" si="27"/>
        <v>0</v>
      </c>
      <c r="R60" s="651">
        <f t="shared" si="27"/>
        <v>0</v>
      </c>
      <c r="S60" s="651">
        <f t="shared" si="27"/>
        <v>0</v>
      </c>
      <c r="T60" s="651">
        <f t="shared" si="27"/>
        <v>0</v>
      </c>
      <c r="U60" s="651">
        <f t="shared" si="27"/>
        <v>0</v>
      </c>
      <c r="V60" s="651">
        <f t="shared" si="27"/>
        <v>0</v>
      </c>
      <c r="W60" s="651">
        <f t="shared" si="27"/>
        <v>0</v>
      </c>
      <c r="X60" s="651">
        <f t="shared" si="27"/>
        <v>0</v>
      </c>
      <c r="Y60" s="651">
        <f t="shared" si="27"/>
        <v>0</v>
      </c>
      <c r="Z60" s="651">
        <f t="shared" si="27"/>
        <v>0</v>
      </c>
    </row>
    <row r="61" spans="3:26">
      <c r="C61" s="651">
        <f t="shared" ref="C61:Z61" si="28">C30/1000</f>
        <v>0</v>
      </c>
      <c r="D61" s="651">
        <f t="shared" si="28"/>
        <v>0</v>
      </c>
      <c r="E61" s="651">
        <f t="shared" si="28"/>
        <v>0</v>
      </c>
      <c r="F61" s="651">
        <f t="shared" si="28"/>
        <v>0</v>
      </c>
      <c r="G61" s="651">
        <f t="shared" si="28"/>
        <v>0</v>
      </c>
      <c r="H61" s="651">
        <f t="shared" si="28"/>
        <v>0</v>
      </c>
      <c r="I61" s="651">
        <f t="shared" si="28"/>
        <v>0</v>
      </c>
      <c r="J61" s="651">
        <f t="shared" si="28"/>
        <v>0</v>
      </c>
      <c r="K61" s="651">
        <f t="shared" si="28"/>
        <v>0</v>
      </c>
      <c r="L61" s="651">
        <f t="shared" si="28"/>
        <v>0</v>
      </c>
      <c r="M61" s="651">
        <f t="shared" si="28"/>
        <v>0</v>
      </c>
      <c r="N61" s="651">
        <f t="shared" si="28"/>
        <v>0</v>
      </c>
      <c r="O61" s="651">
        <f t="shared" si="28"/>
        <v>0</v>
      </c>
      <c r="P61" s="651">
        <f t="shared" si="28"/>
        <v>0</v>
      </c>
      <c r="Q61" s="651">
        <f t="shared" si="28"/>
        <v>0</v>
      </c>
      <c r="R61" s="651">
        <f t="shared" si="28"/>
        <v>0</v>
      </c>
      <c r="S61" s="651">
        <f t="shared" si="28"/>
        <v>0</v>
      </c>
      <c r="T61" s="651">
        <f t="shared" si="28"/>
        <v>0</v>
      </c>
      <c r="U61" s="651">
        <f t="shared" si="28"/>
        <v>0</v>
      </c>
      <c r="V61" s="651">
        <f t="shared" si="28"/>
        <v>0</v>
      </c>
      <c r="W61" s="651">
        <f t="shared" si="28"/>
        <v>0</v>
      </c>
      <c r="X61" s="651">
        <f t="shared" si="28"/>
        <v>0</v>
      </c>
      <c r="Y61" s="651">
        <f t="shared" si="28"/>
        <v>0</v>
      </c>
      <c r="Z61" s="651">
        <f t="shared" si="28"/>
        <v>0</v>
      </c>
    </row>
    <row r="62" spans="3:26">
      <c r="C62" s="651">
        <f t="shared" ref="C62:Z62" si="29">C31/1000</f>
        <v>0</v>
      </c>
      <c r="D62" s="651">
        <f t="shared" si="29"/>
        <v>0</v>
      </c>
      <c r="E62" s="651">
        <f t="shared" si="29"/>
        <v>0</v>
      </c>
      <c r="F62" s="651">
        <f t="shared" si="29"/>
        <v>0</v>
      </c>
      <c r="G62" s="651">
        <f t="shared" si="29"/>
        <v>0</v>
      </c>
      <c r="H62" s="651">
        <f t="shared" si="29"/>
        <v>0</v>
      </c>
      <c r="I62" s="651">
        <f t="shared" si="29"/>
        <v>0</v>
      </c>
      <c r="J62" s="651">
        <f t="shared" si="29"/>
        <v>0</v>
      </c>
      <c r="K62" s="651">
        <f t="shared" si="29"/>
        <v>0</v>
      </c>
      <c r="L62" s="651">
        <f t="shared" si="29"/>
        <v>0</v>
      </c>
      <c r="M62" s="651">
        <f t="shared" si="29"/>
        <v>0</v>
      </c>
      <c r="N62" s="651">
        <f t="shared" si="29"/>
        <v>0</v>
      </c>
      <c r="O62" s="651">
        <f t="shared" si="29"/>
        <v>0</v>
      </c>
      <c r="P62" s="651">
        <f t="shared" si="29"/>
        <v>0</v>
      </c>
      <c r="Q62" s="651">
        <f t="shared" si="29"/>
        <v>0</v>
      </c>
      <c r="R62" s="651">
        <f t="shared" si="29"/>
        <v>0</v>
      </c>
      <c r="S62" s="651">
        <f t="shared" si="29"/>
        <v>0</v>
      </c>
      <c r="T62" s="651">
        <f t="shared" si="29"/>
        <v>0</v>
      </c>
      <c r="U62" s="651">
        <f t="shared" si="29"/>
        <v>0</v>
      </c>
      <c r="V62" s="651">
        <f t="shared" si="29"/>
        <v>0</v>
      </c>
      <c r="W62" s="651">
        <f t="shared" si="29"/>
        <v>0</v>
      </c>
      <c r="X62" s="651">
        <f t="shared" si="29"/>
        <v>0</v>
      </c>
      <c r="Y62" s="651">
        <f t="shared" si="29"/>
        <v>0</v>
      </c>
      <c r="Z62" s="651">
        <f t="shared" si="29"/>
        <v>0</v>
      </c>
    </row>
    <row r="63" spans="3:26">
      <c r="C63" s="651">
        <f t="shared" ref="C63:Z63" si="30">C32/1000</f>
        <v>0</v>
      </c>
      <c r="D63" s="651">
        <f t="shared" si="30"/>
        <v>0</v>
      </c>
      <c r="E63" s="651">
        <f t="shared" si="30"/>
        <v>0</v>
      </c>
      <c r="F63" s="651">
        <f t="shared" si="30"/>
        <v>0</v>
      </c>
      <c r="G63" s="651">
        <f t="shared" si="30"/>
        <v>0</v>
      </c>
      <c r="H63" s="651">
        <f t="shared" si="30"/>
        <v>0</v>
      </c>
      <c r="I63" s="651">
        <f t="shared" si="30"/>
        <v>0</v>
      </c>
      <c r="J63" s="651">
        <f t="shared" si="30"/>
        <v>0</v>
      </c>
      <c r="K63" s="651">
        <f t="shared" si="30"/>
        <v>0</v>
      </c>
      <c r="L63" s="651">
        <f t="shared" si="30"/>
        <v>0</v>
      </c>
      <c r="M63" s="651">
        <f t="shared" si="30"/>
        <v>0</v>
      </c>
      <c r="N63" s="651">
        <f t="shared" si="30"/>
        <v>0</v>
      </c>
      <c r="O63" s="651">
        <f t="shared" si="30"/>
        <v>0</v>
      </c>
      <c r="P63" s="651">
        <f t="shared" si="30"/>
        <v>0</v>
      </c>
      <c r="Q63" s="651">
        <f t="shared" si="30"/>
        <v>0</v>
      </c>
      <c r="R63" s="651">
        <f t="shared" si="30"/>
        <v>0</v>
      </c>
      <c r="S63" s="651">
        <f t="shared" si="30"/>
        <v>0</v>
      </c>
      <c r="T63" s="651">
        <f t="shared" si="30"/>
        <v>0</v>
      </c>
      <c r="U63" s="651">
        <f t="shared" si="30"/>
        <v>0</v>
      </c>
      <c r="V63" s="651">
        <f t="shared" si="30"/>
        <v>0</v>
      </c>
      <c r="W63" s="651">
        <f t="shared" si="30"/>
        <v>0</v>
      </c>
      <c r="X63" s="651">
        <f t="shared" si="30"/>
        <v>0</v>
      </c>
      <c r="Y63" s="651">
        <f t="shared" si="30"/>
        <v>0</v>
      </c>
      <c r="Z63" s="651">
        <f t="shared" si="30"/>
        <v>0</v>
      </c>
    </row>
    <row r="64" spans="3:26">
      <c r="C64" s="651">
        <f t="shared" ref="C64:Z64" si="31">C33/1000</f>
        <v>0</v>
      </c>
      <c r="D64" s="651">
        <f t="shared" si="31"/>
        <v>0</v>
      </c>
      <c r="E64" s="651">
        <f t="shared" si="31"/>
        <v>0</v>
      </c>
      <c r="F64" s="651">
        <f t="shared" si="31"/>
        <v>0</v>
      </c>
      <c r="G64" s="651">
        <f t="shared" si="31"/>
        <v>0</v>
      </c>
      <c r="H64" s="651">
        <f t="shared" si="31"/>
        <v>0</v>
      </c>
      <c r="I64" s="651">
        <f t="shared" si="31"/>
        <v>0</v>
      </c>
      <c r="J64" s="651">
        <f t="shared" si="31"/>
        <v>0</v>
      </c>
      <c r="K64" s="651">
        <f t="shared" si="31"/>
        <v>0</v>
      </c>
      <c r="L64" s="651">
        <f t="shared" si="31"/>
        <v>0</v>
      </c>
      <c r="M64" s="651">
        <f t="shared" si="31"/>
        <v>0</v>
      </c>
      <c r="N64" s="651">
        <f t="shared" si="31"/>
        <v>0</v>
      </c>
      <c r="O64" s="651">
        <f t="shared" si="31"/>
        <v>0</v>
      </c>
      <c r="P64" s="651">
        <f t="shared" si="31"/>
        <v>0</v>
      </c>
      <c r="Q64" s="651">
        <f t="shared" si="31"/>
        <v>0</v>
      </c>
      <c r="R64" s="651">
        <f t="shared" si="31"/>
        <v>0</v>
      </c>
      <c r="S64" s="651">
        <f t="shared" si="31"/>
        <v>0</v>
      </c>
      <c r="T64" s="651">
        <f t="shared" si="31"/>
        <v>0</v>
      </c>
      <c r="U64" s="651">
        <f t="shared" si="31"/>
        <v>0</v>
      </c>
      <c r="V64" s="651">
        <f t="shared" si="31"/>
        <v>0</v>
      </c>
      <c r="W64" s="651">
        <f t="shared" si="31"/>
        <v>0</v>
      </c>
      <c r="X64" s="651">
        <f t="shared" si="31"/>
        <v>0</v>
      </c>
      <c r="Y64" s="651">
        <f t="shared" si="31"/>
        <v>0</v>
      </c>
      <c r="Z64" s="651">
        <f t="shared" si="31"/>
        <v>0</v>
      </c>
    </row>
    <row r="65" spans="3:26">
      <c r="C65" s="651">
        <f t="shared" ref="C65:Z65" si="32">C34/1000</f>
        <v>0</v>
      </c>
      <c r="D65" s="651">
        <f t="shared" si="32"/>
        <v>0</v>
      </c>
      <c r="E65" s="651">
        <f t="shared" si="32"/>
        <v>0</v>
      </c>
      <c r="F65" s="651">
        <f t="shared" si="32"/>
        <v>0</v>
      </c>
      <c r="G65" s="651">
        <f t="shared" si="32"/>
        <v>0</v>
      </c>
      <c r="H65" s="651">
        <f t="shared" si="32"/>
        <v>0</v>
      </c>
      <c r="I65" s="651">
        <f t="shared" si="32"/>
        <v>0</v>
      </c>
      <c r="J65" s="651">
        <f t="shared" si="32"/>
        <v>0</v>
      </c>
      <c r="K65" s="651">
        <f t="shared" si="32"/>
        <v>0</v>
      </c>
      <c r="L65" s="651">
        <f t="shared" si="32"/>
        <v>0</v>
      </c>
      <c r="M65" s="651">
        <f t="shared" si="32"/>
        <v>0</v>
      </c>
      <c r="N65" s="651">
        <f t="shared" si="32"/>
        <v>0</v>
      </c>
      <c r="O65" s="651">
        <f t="shared" si="32"/>
        <v>0</v>
      </c>
      <c r="P65" s="651">
        <f t="shared" si="32"/>
        <v>0</v>
      </c>
      <c r="Q65" s="651">
        <f t="shared" si="32"/>
        <v>0</v>
      </c>
      <c r="R65" s="651">
        <f t="shared" si="32"/>
        <v>0</v>
      </c>
      <c r="S65" s="651">
        <f t="shared" si="32"/>
        <v>0</v>
      </c>
      <c r="T65" s="651">
        <f t="shared" si="32"/>
        <v>0</v>
      </c>
      <c r="U65" s="651">
        <f t="shared" si="32"/>
        <v>0</v>
      </c>
      <c r="V65" s="651">
        <f t="shared" si="32"/>
        <v>0</v>
      </c>
      <c r="W65" s="651">
        <f t="shared" si="32"/>
        <v>0</v>
      </c>
      <c r="X65" s="651">
        <f t="shared" si="32"/>
        <v>0</v>
      </c>
      <c r="Y65" s="651">
        <f t="shared" si="32"/>
        <v>0</v>
      </c>
      <c r="Z65" s="651">
        <f t="shared" si="32"/>
        <v>0</v>
      </c>
    </row>
    <row r="66" spans="3:26">
      <c r="C66" s="651">
        <f t="shared" ref="C66:Z66" si="33">C35/1000</f>
        <v>0</v>
      </c>
      <c r="D66" s="651">
        <f t="shared" si="33"/>
        <v>0</v>
      </c>
      <c r="E66" s="651">
        <f t="shared" si="33"/>
        <v>0</v>
      </c>
      <c r="F66" s="651">
        <f t="shared" si="33"/>
        <v>0</v>
      </c>
      <c r="G66" s="651">
        <f t="shared" si="33"/>
        <v>0</v>
      </c>
      <c r="H66" s="651">
        <f t="shared" si="33"/>
        <v>0</v>
      </c>
      <c r="I66" s="651">
        <f t="shared" si="33"/>
        <v>0</v>
      </c>
      <c r="J66" s="651">
        <f t="shared" si="33"/>
        <v>0</v>
      </c>
      <c r="K66" s="651">
        <f t="shared" si="33"/>
        <v>0</v>
      </c>
      <c r="L66" s="651">
        <f t="shared" si="33"/>
        <v>0</v>
      </c>
      <c r="M66" s="651">
        <f t="shared" si="33"/>
        <v>0</v>
      </c>
      <c r="N66" s="651">
        <f t="shared" si="33"/>
        <v>0</v>
      </c>
      <c r="O66" s="651">
        <f t="shared" si="33"/>
        <v>0</v>
      </c>
      <c r="P66" s="651">
        <f t="shared" si="33"/>
        <v>0</v>
      </c>
      <c r="Q66" s="651">
        <f t="shared" si="33"/>
        <v>0</v>
      </c>
      <c r="R66" s="651">
        <f t="shared" si="33"/>
        <v>0</v>
      </c>
      <c r="S66" s="651">
        <f t="shared" si="33"/>
        <v>0</v>
      </c>
      <c r="T66" s="651">
        <f t="shared" si="33"/>
        <v>0</v>
      </c>
      <c r="U66" s="651">
        <f t="shared" si="33"/>
        <v>0</v>
      </c>
      <c r="V66" s="651">
        <f t="shared" si="33"/>
        <v>0</v>
      </c>
      <c r="W66" s="651">
        <f t="shared" si="33"/>
        <v>0</v>
      </c>
      <c r="X66" s="651">
        <f t="shared" si="33"/>
        <v>0</v>
      </c>
      <c r="Y66" s="651">
        <f t="shared" si="33"/>
        <v>0</v>
      </c>
      <c r="Z66" s="651">
        <f t="shared" si="33"/>
        <v>0</v>
      </c>
    </row>
    <row r="67" spans="3:26">
      <c r="C67" s="651">
        <f t="shared" ref="C67:Z67" si="34">C36/1000</f>
        <v>3.0404999999999994E-4</v>
      </c>
      <c r="D67" s="651">
        <f t="shared" si="34"/>
        <v>2.724799999999998E-4</v>
      </c>
      <c r="E67" s="651">
        <f t="shared" si="34"/>
        <v>2.5590999999999987E-4</v>
      </c>
      <c r="F67" s="651">
        <f t="shared" si="34"/>
        <v>2.4171999999999979E-4</v>
      </c>
      <c r="G67" s="651">
        <f t="shared" si="34"/>
        <v>1.00632E-3</v>
      </c>
      <c r="H67" s="651">
        <f t="shared" si="34"/>
        <v>9.747600000000004E-4</v>
      </c>
      <c r="I67" s="651">
        <f t="shared" si="34"/>
        <v>9.5818000000000021E-4</v>
      </c>
      <c r="J67" s="651">
        <f t="shared" si="34"/>
        <v>9.4399000000000024E-4</v>
      </c>
      <c r="K67" s="651">
        <f t="shared" si="34"/>
        <v>7.3923999999999973E-4</v>
      </c>
      <c r="L67" s="651">
        <f t="shared" si="34"/>
        <v>7.0766999999999998E-4</v>
      </c>
      <c r="M67" s="651">
        <f t="shared" si="34"/>
        <v>6.9109999999999994E-4</v>
      </c>
      <c r="N67" s="651">
        <f t="shared" si="34"/>
        <v>6.7691000000000029E-4</v>
      </c>
      <c r="O67" s="651">
        <f t="shared" si="34"/>
        <v>5.865899999999999E-4</v>
      </c>
      <c r="P67" s="651">
        <f t="shared" si="34"/>
        <v>5.5502000000000014E-4</v>
      </c>
      <c r="Q67" s="651">
        <f t="shared" si="34"/>
        <v>5.384500000000001E-4</v>
      </c>
      <c r="R67" s="651">
        <f t="shared" si="34"/>
        <v>5.242599999999997E-4</v>
      </c>
      <c r="S67" s="651">
        <f t="shared" si="34"/>
        <v>5.3169000000000014E-4</v>
      </c>
      <c r="T67" s="651">
        <f t="shared" si="34"/>
        <v>5.0013000000000032E-4</v>
      </c>
      <c r="U67" s="651">
        <f t="shared" si="34"/>
        <v>4.8355000000000018E-4</v>
      </c>
      <c r="V67" s="651">
        <f t="shared" si="34"/>
        <v>4.693700000000001E-4</v>
      </c>
      <c r="W67" s="651">
        <f t="shared" si="34"/>
        <v>2.6962000000000015E-4</v>
      </c>
      <c r="X67" s="651">
        <f t="shared" si="34"/>
        <v>2.3806000000000017E-4</v>
      </c>
      <c r="Y67" s="651">
        <f t="shared" si="34"/>
        <v>2.2148E-4</v>
      </c>
      <c r="Z67" s="651">
        <f t="shared" si="34"/>
        <v>2.0729999999999994E-4</v>
      </c>
    </row>
    <row r="68" spans="3:26">
      <c r="C68" s="651">
        <f t="shared" ref="C68:Z68" si="35">C37/1000</f>
        <v>2.9467000000000008E-4</v>
      </c>
      <c r="D68" s="651">
        <f t="shared" si="35"/>
        <v>2.6310999999999988E-4</v>
      </c>
      <c r="E68" s="651">
        <f t="shared" si="35"/>
        <v>2.4653999999999995E-4</v>
      </c>
      <c r="F68" s="651">
        <f t="shared" si="35"/>
        <v>2.3234999999999993E-4</v>
      </c>
      <c r="G68" s="651">
        <f t="shared" si="35"/>
        <v>9.9099999999999991E-4</v>
      </c>
      <c r="H68" s="651">
        <f t="shared" si="35"/>
        <v>9.5944000000000031E-4</v>
      </c>
      <c r="I68" s="651">
        <f t="shared" si="35"/>
        <v>9.4286000000000012E-4</v>
      </c>
      <c r="J68" s="651">
        <f t="shared" si="35"/>
        <v>9.2867999999999987E-4</v>
      </c>
      <c r="K68" s="651">
        <f t="shared" si="35"/>
        <v>7.2687000000000012E-4</v>
      </c>
      <c r="L68" s="651">
        <f t="shared" si="35"/>
        <v>6.9529999999999993E-4</v>
      </c>
      <c r="M68" s="651">
        <f t="shared" si="35"/>
        <v>6.7872999999999978E-4</v>
      </c>
      <c r="N68" s="651">
        <f t="shared" si="35"/>
        <v>6.6454000000000025E-4</v>
      </c>
      <c r="O68" s="651">
        <f t="shared" si="35"/>
        <v>5.7501999999999998E-4</v>
      </c>
      <c r="P68" s="651">
        <f t="shared" si="35"/>
        <v>5.4345000000000012E-4</v>
      </c>
      <c r="Q68" s="651">
        <f t="shared" si="35"/>
        <v>5.2688000000000008E-4</v>
      </c>
      <c r="R68" s="651">
        <f t="shared" si="35"/>
        <v>5.1269000000000011E-4</v>
      </c>
      <c r="S68" s="651">
        <f t="shared" si="35"/>
        <v>5.2205999999999997E-4</v>
      </c>
      <c r="T68" s="651">
        <f t="shared" si="35"/>
        <v>4.9049999999999994E-4</v>
      </c>
      <c r="U68" s="651">
        <f t="shared" si="35"/>
        <v>4.7392999999999985E-4</v>
      </c>
      <c r="V68" s="651">
        <f t="shared" si="35"/>
        <v>4.5973999999999977E-4</v>
      </c>
      <c r="W68" s="651">
        <f t="shared" si="35"/>
        <v>2.6308999999999995E-4</v>
      </c>
      <c r="X68" s="651">
        <f t="shared" si="35"/>
        <v>2.3153000000000022E-4</v>
      </c>
      <c r="Y68" s="651">
        <f t="shared" si="35"/>
        <v>2.1495000000000029E-4</v>
      </c>
      <c r="Z68" s="651">
        <f t="shared" si="35"/>
        <v>2.0076E-4</v>
      </c>
    </row>
    <row r="69" spans="3:26">
      <c r="C69" s="651">
        <f t="shared" ref="C69:Z69" si="36">C38/1000</f>
        <v>2.3812999999999986E-4</v>
      </c>
      <c r="D69" s="651">
        <f t="shared" si="36"/>
        <v>2.065599999999997E-4</v>
      </c>
      <c r="E69" s="651">
        <f t="shared" si="36"/>
        <v>1.8998999999999977E-4</v>
      </c>
      <c r="F69" s="651">
        <f t="shared" si="36"/>
        <v>1.7579999999999975E-4</v>
      </c>
      <c r="G69" s="651">
        <f t="shared" si="36"/>
        <v>8.9925999999999971E-4</v>
      </c>
      <c r="H69" s="651">
        <f t="shared" si="36"/>
        <v>8.6769000000000028E-4</v>
      </c>
      <c r="I69" s="651">
        <f t="shared" si="36"/>
        <v>8.5112000000000035E-4</v>
      </c>
      <c r="J69" s="651">
        <f t="shared" si="36"/>
        <v>8.3693000000000027E-4</v>
      </c>
      <c r="K69" s="651">
        <f t="shared" si="36"/>
        <v>6.5272000000000008E-4</v>
      </c>
      <c r="L69" s="651">
        <f t="shared" si="36"/>
        <v>6.2116000000000027E-4</v>
      </c>
      <c r="M69" s="651">
        <f t="shared" si="36"/>
        <v>6.0458000000000007E-4</v>
      </c>
      <c r="N69" s="651">
        <f t="shared" si="36"/>
        <v>5.9040000000000058E-4</v>
      </c>
      <c r="O69" s="651">
        <f t="shared" si="36"/>
        <v>5.0557999999999994E-4</v>
      </c>
      <c r="P69" s="651">
        <f t="shared" si="36"/>
        <v>4.7402000000000002E-4</v>
      </c>
      <c r="Q69" s="651">
        <f t="shared" si="36"/>
        <v>4.5744000000000009E-4</v>
      </c>
      <c r="R69" s="651">
        <f t="shared" si="36"/>
        <v>4.4325999999999979E-4</v>
      </c>
      <c r="S69" s="651">
        <f t="shared" si="36"/>
        <v>4.6428000000000018E-4</v>
      </c>
      <c r="T69" s="651">
        <f t="shared" si="36"/>
        <v>4.3272000000000026E-4</v>
      </c>
      <c r="U69" s="651">
        <f t="shared" si="36"/>
        <v>4.1614000000000034E-4</v>
      </c>
      <c r="V69" s="651">
        <f t="shared" si="36"/>
        <v>4.0196000000000025E-4</v>
      </c>
      <c r="W69" s="651">
        <f t="shared" si="36"/>
        <v>2.237600000000002E-4</v>
      </c>
      <c r="X69" s="651">
        <f t="shared" si="36"/>
        <v>1.9219000000000029E-4</v>
      </c>
      <c r="Y69" s="651">
        <f t="shared" si="36"/>
        <v>1.7562000000000011E-4</v>
      </c>
      <c r="Z69" s="651">
        <f t="shared" si="36"/>
        <v>1.6143000000000009E-4</v>
      </c>
    </row>
    <row r="70" spans="3:26">
      <c r="C70" s="651">
        <f t="shared" ref="C70:Z70" si="37">C39/1000</f>
        <v>1.9262000000000012E-4</v>
      </c>
      <c r="D70" s="651">
        <f t="shared" si="37"/>
        <v>1.6105999999999949E-4</v>
      </c>
      <c r="E70" s="651">
        <f t="shared" si="37"/>
        <v>1.4448000000000003E-4</v>
      </c>
      <c r="F70" s="651">
        <f t="shared" si="37"/>
        <v>1.3029999999999972E-4</v>
      </c>
      <c r="G70" s="651">
        <f t="shared" si="37"/>
        <v>8.2531E-4</v>
      </c>
      <c r="H70" s="651">
        <f t="shared" si="37"/>
        <v>7.9374999999999997E-4</v>
      </c>
      <c r="I70" s="651">
        <f t="shared" si="37"/>
        <v>7.7718000000000015E-4</v>
      </c>
      <c r="J70" s="651">
        <f t="shared" si="37"/>
        <v>7.6298999999999985E-4</v>
      </c>
      <c r="K70" s="651">
        <f t="shared" si="37"/>
        <v>5.9297000000000017E-4</v>
      </c>
      <c r="L70" s="651">
        <f t="shared" si="37"/>
        <v>5.6141000000000025E-4</v>
      </c>
      <c r="M70" s="651">
        <f t="shared" si="37"/>
        <v>5.448400000000001E-4</v>
      </c>
      <c r="N70" s="651">
        <f t="shared" si="37"/>
        <v>5.3065000000000046E-4</v>
      </c>
      <c r="O70" s="651">
        <f t="shared" si="37"/>
        <v>4.496499999999999E-4</v>
      </c>
      <c r="P70" s="651">
        <f t="shared" si="37"/>
        <v>4.180800000000002E-4</v>
      </c>
      <c r="Q70" s="651">
        <f t="shared" si="37"/>
        <v>4.0151E-4</v>
      </c>
      <c r="R70" s="651">
        <f t="shared" si="37"/>
        <v>3.8732000000000019E-4</v>
      </c>
      <c r="S70" s="651">
        <f t="shared" si="37"/>
        <v>4.1773999999999978E-4</v>
      </c>
      <c r="T70" s="651">
        <f t="shared" si="37"/>
        <v>3.8617000000000008E-4</v>
      </c>
      <c r="U70" s="651">
        <f t="shared" si="37"/>
        <v>3.6959999999999993E-4</v>
      </c>
      <c r="V70" s="651">
        <f t="shared" si="37"/>
        <v>3.5541000000000007E-4</v>
      </c>
      <c r="W70" s="651">
        <f t="shared" si="37"/>
        <v>1.9206999999999994E-4</v>
      </c>
      <c r="X70" s="651">
        <f t="shared" si="37"/>
        <v>1.6051000000000021E-4</v>
      </c>
      <c r="Y70" s="651">
        <f t="shared" si="37"/>
        <v>1.4394000000000006E-4</v>
      </c>
      <c r="Z70" s="651">
        <f t="shared" si="37"/>
        <v>1.2975000000000001E-4</v>
      </c>
    </row>
    <row r="71" spans="3:26">
      <c r="C71" s="651">
        <f t="shared" ref="C71:Z71" si="38">C40/1000</f>
        <v>0</v>
      </c>
      <c r="D71" s="651">
        <f t="shared" si="38"/>
        <v>0</v>
      </c>
      <c r="E71" s="651">
        <f t="shared" si="38"/>
        <v>0</v>
      </c>
      <c r="F71" s="651">
        <f t="shared" si="38"/>
        <v>0</v>
      </c>
      <c r="G71" s="651">
        <f t="shared" si="38"/>
        <v>0</v>
      </c>
      <c r="H71" s="651">
        <f t="shared" si="38"/>
        <v>0</v>
      </c>
      <c r="I71" s="651">
        <f t="shared" si="38"/>
        <v>0</v>
      </c>
      <c r="J71" s="651">
        <f t="shared" si="38"/>
        <v>0</v>
      </c>
      <c r="K71" s="651">
        <f t="shared" si="38"/>
        <v>0</v>
      </c>
      <c r="L71" s="651">
        <f t="shared" si="38"/>
        <v>0</v>
      </c>
      <c r="M71" s="651">
        <f t="shared" si="38"/>
        <v>0</v>
      </c>
      <c r="N71" s="651">
        <f t="shared" si="38"/>
        <v>0</v>
      </c>
      <c r="O71" s="651">
        <f t="shared" si="38"/>
        <v>0</v>
      </c>
      <c r="P71" s="651">
        <f t="shared" si="38"/>
        <v>0</v>
      </c>
      <c r="Q71" s="651">
        <f t="shared" si="38"/>
        <v>0</v>
      </c>
      <c r="R71" s="651">
        <f t="shared" si="38"/>
        <v>0</v>
      </c>
      <c r="S71" s="651">
        <f t="shared" si="38"/>
        <v>0</v>
      </c>
      <c r="T71" s="651">
        <f t="shared" si="38"/>
        <v>0</v>
      </c>
      <c r="U71" s="651">
        <f t="shared" si="38"/>
        <v>0</v>
      </c>
      <c r="V71" s="651">
        <f t="shared" si="38"/>
        <v>0</v>
      </c>
      <c r="W71" s="651">
        <f t="shared" si="38"/>
        <v>0</v>
      </c>
      <c r="X71" s="651">
        <f t="shared" si="38"/>
        <v>0</v>
      </c>
      <c r="Y71" s="651">
        <f t="shared" si="38"/>
        <v>0</v>
      </c>
      <c r="Z71" s="651">
        <f t="shared" si="38"/>
        <v>0</v>
      </c>
    </row>
  </sheetData>
  <mergeCells count="30">
    <mergeCell ref="A2:Z2"/>
    <mergeCell ref="A3:B4"/>
    <mergeCell ref="C3:F3"/>
    <mergeCell ref="G3:J3"/>
    <mergeCell ref="K3:N3"/>
    <mergeCell ref="O3:R3"/>
    <mergeCell ref="S3:V3"/>
    <mergeCell ref="W3:Z3"/>
    <mergeCell ref="W9:Z9"/>
    <mergeCell ref="A16:Z16"/>
    <mergeCell ref="A17:B18"/>
    <mergeCell ref="C17:F17"/>
    <mergeCell ref="G17:J17"/>
    <mergeCell ref="K17:N17"/>
    <mergeCell ref="O17:R17"/>
    <mergeCell ref="S17:V17"/>
    <mergeCell ref="W17:Z17"/>
    <mergeCell ref="A9:B10"/>
    <mergeCell ref="C9:F9"/>
    <mergeCell ref="G9:J9"/>
    <mergeCell ref="K9:N9"/>
    <mergeCell ref="O9:R9"/>
    <mergeCell ref="S9:V9"/>
    <mergeCell ref="W23:Z23"/>
    <mergeCell ref="A23:B24"/>
    <mergeCell ref="C23:F23"/>
    <mergeCell ref="G23:J23"/>
    <mergeCell ref="K23:N23"/>
    <mergeCell ref="O23:R23"/>
    <mergeCell ref="S23:V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A33"/>
  <sheetViews>
    <sheetView zoomScale="80" zoomScaleNormal="80" workbookViewId="0">
      <selection activeCell="C5" sqref="C5"/>
    </sheetView>
  </sheetViews>
  <sheetFormatPr defaultRowHeight="12"/>
  <cols>
    <col min="1" max="1" width="11.140625" style="10" customWidth="1"/>
    <col min="2" max="2" width="10.140625" style="10" customWidth="1"/>
    <col min="3" max="26" width="11" style="10" bestFit="1" customWidth="1"/>
    <col min="27" max="16384" width="9.140625" style="10"/>
  </cols>
  <sheetData>
    <row r="1" spans="1:27" ht="18.7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7" ht="19.5" customHeight="1">
      <c r="A2" s="794" t="s">
        <v>31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</row>
    <row r="3" spans="1:27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7">
      <c r="A4" s="791"/>
      <c r="B4" s="792"/>
      <c r="C4" s="11" t="s">
        <v>2</v>
      </c>
      <c r="D4" s="11" t="s">
        <v>3</v>
      </c>
      <c r="E4" s="11" t="s">
        <v>4</v>
      </c>
      <c r="F4" s="11" t="s">
        <v>5</v>
      </c>
      <c r="G4" s="11" t="s">
        <v>2</v>
      </c>
      <c r="H4" s="11" t="s">
        <v>3</v>
      </c>
      <c r="I4" s="11" t="s">
        <v>4</v>
      </c>
      <c r="J4" s="11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7" ht="24">
      <c r="A5" s="14" t="s">
        <v>6</v>
      </c>
      <c r="B5" s="15" t="s">
        <v>33</v>
      </c>
      <c r="C5" s="16">
        <f>((факт2015!C5-'факт 2014'!D23)*100)/'факт 2014'!D23</f>
        <v>31.5591708904958</v>
      </c>
      <c r="D5" s="16">
        <f>((факт2015!D5-'факт 2014'!E23)*100)/'факт 2014'!E23</f>
        <v>26.720658311728563</v>
      </c>
      <c r="E5" s="16">
        <f>((факт2015!E5-'факт 2014'!F23)*100)/'факт 2014'!F23</f>
        <v>24.729817343952579</v>
      </c>
      <c r="F5" s="16">
        <f>((факт2015!F5-'факт 2014'!G23)*100)/'факт 2014'!G23</f>
        <v>23.247147681377175</v>
      </c>
      <c r="G5" s="16">
        <f>((факт2015!G5-'факт 2014'!H23)*100)/'факт 2014'!H23</f>
        <v>86.386488605970484</v>
      </c>
      <c r="H5" s="16">
        <f>((факт2015!H5-'факт 2014'!I23)*100)/'факт 2014'!I23</f>
        <v>71.734674643224821</v>
      </c>
      <c r="I5" s="16">
        <f>((факт2015!I5-'факт 2014'!J23)*100)/'факт 2014'!J23</f>
        <v>65.868528146171045</v>
      </c>
      <c r="J5" s="16">
        <f>((факт2015!J5-'факт 2014'!K23)*100)/'факт 2014'!K23</f>
        <v>61.559269696019577</v>
      </c>
      <c r="K5" s="16">
        <f>((факт2015!K5-'факт 2014'!L23)*100)/'факт 2014'!L23</f>
        <v>69.661373183931545</v>
      </c>
      <c r="L5" s="16">
        <f>((факт2015!L5-'факт 2014'!M23)*100)/'факт 2014'!M23</f>
        <v>57.289825759000927</v>
      </c>
      <c r="M5" s="16">
        <f>((факт2015!M5-'факт 2014'!N23)*100)/'факт 2014'!N23</f>
        <v>52.403096127819694</v>
      </c>
      <c r="N5" s="16">
        <f>((факт2015!N5-'факт 2014'!O23)*100)/'факт 2014'!O23</f>
        <v>48.837137333524637</v>
      </c>
      <c r="O5" s="16">
        <f>((факт2015!O5-'факт 2014'!P23)*100)/'факт 2014'!P23</f>
        <v>53.272012258484864</v>
      </c>
      <c r="P5" s="16">
        <f>((факт2015!P5-'факт 2014'!Q23)*100)/'факт 2014'!Q23</f>
        <v>44.562087397584726</v>
      </c>
      <c r="Q5" s="16">
        <f>((факт2015!Q5-'факт 2014'!R23)*100)/'факт 2014'!R23</f>
        <v>41.038865293631197</v>
      </c>
      <c r="R5" s="16">
        <f>((факт2015!R5-'факт 2014'!S23)*100)/'факт 2014'!S23</f>
        <v>38.437423708647806</v>
      </c>
      <c r="S5" s="16">
        <f>((факт2015!S5-'факт 2014'!T23)*100)/'факт 2014'!T23</f>
        <v>58.721590709697949</v>
      </c>
      <c r="T5" s="16">
        <f>((факт2015!T5-'факт 2014'!U23)*100)/'факт 2014'!U23</f>
        <v>47.212697527876585</v>
      </c>
      <c r="U5" s="16">
        <f>((факт2015!U5-'факт 2014'!V23)*100)/'факт 2014'!V23</f>
        <v>42.807319762758375</v>
      </c>
      <c r="V5" s="16">
        <f>((факт2015!V5-'факт 2014'!W23)*100)/'факт 2014'!W23</f>
        <v>39.641003497461874</v>
      </c>
      <c r="W5" s="16">
        <f>((факт2015!W5-'факт 2014'!X23)*100)/'факт 2014'!X23</f>
        <v>38.021428533623606</v>
      </c>
      <c r="X5" s="16">
        <f>((факт2015!X5-'факт 2014'!Y23)*100)/'факт 2014'!Y23</f>
        <v>29.938520545200348</v>
      </c>
      <c r="Y5" s="16">
        <f>((факт2015!Y5-'факт 2014'!Z23)*100)/'факт 2014'!Z23</f>
        <v>26.932168102959828</v>
      </c>
      <c r="Z5" s="16">
        <f>((факт2015!Z5-'факт 2014'!AA23)*100)/'факт 2014'!AA23</f>
        <v>24.800338551315434</v>
      </c>
    </row>
    <row r="6" spans="1:27" ht="24">
      <c r="A6" s="14" t="s">
        <v>8</v>
      </c>
      <c r="B6" s="15" t="s">
        <v>33</v>
      </c>
      <c r="C6" s="16">
        <f>((факт2015!C6-'факт 2014'!D24)*100)/'факт 2014'!D24</f>
        <v>31.022003991719945</v>
      </c>
      <c r="D6" s="16">
        <f>((факт2015!D6-'факт 2014'!E24)*100)/'факт 2014'!E24</f>
        <v>26.249023472853008</v>
      </c>
      <c r="E6" s="16">
        <f>((факт2015!E6-'факт 2014'!F24)*100)/'факт 2014'!F24</f>
        <v>24.286921173238522</v>
      </c>
      <c r="F6" s="16">
        <f>((факт2015!F6-'факт 2014'!G24)*100)/'факт 2014'!G24</f>
        <v>22.826326122744536</v>
      </c>
      <c r="G6" s="16">
        <f>((факт2015!G6-'факт 2014'!H24)*100)/'факт 2014'!H24</f>
        <v>85.54501581581269</v>
      </c>
      <c r="H6" s="16">
        <f>((факт2015!H6-'факт 2014'!I24)*100)/'факт 2014'!I24</f>
        <v>70.987184389878493</v>
      </c>
      <c r="I6" s="16">
        <f>((факт2015!I6-'факт 2014'!J24)*100)/'факт 2014'!J24</f>
        <v>65.164264144703409</v>
      </c>
      <c r="J6" s="16">
        <f>((факт2015!J6-'факт 2014'!K24)*100)/'факт 2014'!K24</f>
        <v>60.888796793454787</v>
      </c>
      <c r="K6" s="16">
        <f>((факт2015!K6-'факт 2014'!L24)*100)/'факт 2014'!L24</f>
        <v>68.915835319499394</v>
      </c>
      <c r="L6" s="16">
        <f>((факт2015!L6-'факт 2014'!M24)*100)/'факт 2014'!M24</f>
        <v>56.636644343686399</v>
      </c>
      <c r="M6" s="16">
        <f>((факт2015!M6-'факт 2014'!N24)*100)/'факт 2014'!N24</f>
        <v>51.791174853427677</v>
      </c>
      <c r="N6" s="16">
        <f>((факт2015!N6-'факт 2014'!O24)*100)/'факт 2014'!O24</f>
        <v>48.257030725586425</v>
      </c>
      <c r="O6" s="16">
        <f>((факт2015!O6-'факт 2014'!P24)*100)/'факт 2014'!P24</f>
        <v>52.616125388114256</v>
      </c>
      <c r="P6" s="16">
        <f>((факт2015!P6-'факт 2014'!Q24)*100)/'факт 2014'!Q24</f>
        <v>43.983957129545743</v>
      </c>
      <c r="Q6" s="16">
        <f>((факт2015!Q6-'факт 2014'!R24)*100)/'факт 2014'!R24</f>
        <v>40.495472047077023</v>
      </c>
      <c r="R6" s="16">
        <f>((факт2015!R6-'факт 2014'!S24)*100)/'факт 2014'!S24</f>
        <v>37.920891846509818</v>
      </c>
      <c r="S6" s="16">
        <f>((факт2015!S6-'факт 2014'!T24)*100)/'факт 2014'!T24</f>
        <v>58.043670834790731</v>
      </c>
      <c r="T6" s="16">
        <f>((факт2015!T6-'факт 2014'!U24)*100)/'факт 2014'!U24</f>
        <v>46.632703961039468</v>
      </c>
      <c r="U6" s="16">
        <f>((факт2015!U6-'факт 2014'!V24)*100)/'факт 2014'!V24</f>
        <v>42.269331151324664</v>
      </c>
      <c r="V6" s="16">
        <f>((факт2015!V6-'факт 2014'!W24)*100)/'факт 2014'!W24</f>
        <v>39.134749466097567</v>
      </c>
      <c r="W6" s="16">
        <f>((факт2015!W6-'факт 2014'!X24)*100)/'факт 2014'!X24</f>
        <v>37.473929616549945</v>
      </c>
      <c r="X6" s="16">
        <f>((факт2015!X6-'факт 2014'!Y24)*100)/'факт 2014'!Y24</f>
        <v>29.484393264273134</v>
      </c>
      <c r="Y6" s="16">
        <f>((факт2015!Y6-'факт 2014'!Z24)*100)/'факт 2014'!Z24</f>
        <v>26.515949076584853</v>
      </c>
      <c r="Z6" s="16">
        <f>((факт2015!Z6-'факт 2014'!AA24)*100)/'факт 2014'!AA24</f>
        <v>24.412043971570036</v>
      </c>
    </row>
    <row r="7" spans="1:27" ht="24">
      <c r="A7" s="14" t="s">
        <v>9</v>
      </c>
      <c r="B7" s="15" t="s">
        <v>33</v>
      </c>
      <c r="C7" s="16">
        <f>((факт2015!C7-'факт 2014'!D25)*100)/'факт 2014'!D25</f>
        <v>27.669411589946492</v>
      </c>
      <c r="D7" s="16">
        <f>((факт2015!D7-'факт 2014'!E25)*100)/'факт 2014'!E25</f>
        <v>23.32269737383228</v>
      </c>
      <c r="E7" s="16">
        <f>((факт2015!E7-'факт 2014'!F25)*100)/'факт 2014'!F25</f>
        <v>21.545456717518615</v>
      </c>
      <c r="F7" s="16">
        <f>((факт2015!F7-'факт 2014'!G25)*100)/'факт 2014'!G25</f>
        <v>20.226092324583774</v>
      </c>
      <c r="G7" s="16">
        <f>((факт2015!G7-'факт 2014'!H25)*100)/'факт 2014'!H25</f>
        <v>80.312503496060089</v>
      </c>
      <c r="H7" s="16">
        <f>((факт2015!H7-'факт 2014'!I25)*100)/'факт 2014'!I25</f>
        <v>66.372383885997223</v>
      </c>
      <c r="I7" s="16">
        <f>((факт2015!I7-'факт 2014'!J25)*100)/'факт 2014'!J25</f>
        <v>60.828433445448326</v>
      </c>
      <c r="J7" s="16">
        <f>((факт2015!J7-'факт 2014'!K25)*100)/'факт 2014'!K25</f>
        <v>56.769322293811769</v>
      </c>
      <c r="K7" s="16">
        <f>((факт2015!K7-'факт 2014'!L25)*100)/'факт 2014'!L25</f>
        <v>64.283102907549136</v>
      </c>
      <c r="L7" s="16">
        <f>((факт2015!L7-'факт 2014'!M25)*100)/'факт 2014'!M25</f>
        <v>52.606823462081209</v>
      </c>
      <c r="M7" s="16">
        <f>((факт2015!M7-'факт 2014'!N25)*100)/'факт 2014'!N25</f>
        <v>48.026290014110906</v>
      </c>
      <c r="N7" s="16">
        <f>((факт2015!N7-'факт 2014'!O25)*100)/'факт 2014'!O25</f>
        <v>44.694958667960755</v>
      </c>
      <c r="O7" s="16">
        <f>((факт2015!O7-'факт 2014'!P25)*100)/'факт 2014'!P25</f>
        <v>48.535413698198738</v>
      </c>
      <c r="P7" s="16">
        <f>((факт2015!P7-'факт 2014'!Q25)*100)/'факт 2014'!Q25</f>
        <v>40.410552046253933</v>
      </c>
      <c r="Q7" s="16">
        <f>((факт2015!Q7-'факт 2014'!R25)*100)/'факт 2014'!R25</f>
        <v>37.145481271231006</v>
      </c>
      <c r="R7" s="16">
        <f>((факт2015!R7-'факт 2014'!S25)*100)/'факт 2014'!S25</f>
        <v>34.742532045038402</v>
      </c>
      <c r="S7" s="16">
        <f>((факт2015!S7-'факт 2014'!T25)*100)/'факт 2014'!T25</f>
        <v>53.834885431131191</v>
      </c>
      <c r="T7" s="16">
        <f>((факт2015!T7-'факт 2014'!U25)*100)/'факт 2014'!U25</f>
        <v>43.05855469745925</v>
      </c>
      <c r="U7" s="16">
        <f>((факт2015!U7-'факт 2014'!V25)*100)/'факт 2014'!V25</f>
        <v>38.963203535751283</v>
      </c>
      <c r="V7" s="16">
        <f>((факт2015!V7-'факт 2014'!W25)*100)/'факт 2014'!W25</f>
        <v>36.029755964768334</v>
      </c>
      <c r="W7" s="16">
        <f>((факт2015!W7-'факт 2014'!X25)*100)/'факт 2014'!X25</f>
        <v>34.073134007143736</v>
      </c>
      <c r="X7" s="16">
        <f>((факт2015!X7-'факт 2014'!Y25)*100)/'факт 2014'!Y25</f>
        <v>26.684455898530015</v>
      </c>
      <c r="Y7" s="16">
        <f>((факт2015!Y7-'факт 2014'!Z25)*100)/'факт 2014'!Z25</f>
        <v>23.956668831750719</v>
      </c>
      <c r="Z7" s="16">
        <f>((факт2015!Z7-'факт 2014'!AA25)*100)/'факт 2014'!AA25</f>
        <v>22.029000886075892</v>
      </c>
    </row>
    <row r="8" spans="1:27" ht="24">
      <c r="A8" s="14" t="s">
        <v>10</v>
      </c>
      <c r="B8" s="15" t="s">
        <v>33</v>
      </c>
      <c r="C8" s="16">
        <f>((факт2015!C8-'факт 2014'!D26)*100)/'факт 2014'!D26</f>
        <v>24.849425289471075</v>
      </c>
      <c r="D8" s="16">
        <f>((факт2015!D8-'факт 2014'!E26)*100)/'факт 2014'!E26</f>
        <v>20.878023879614535</v>
      </c>
      <c r="E8" s="16">
        <f>((факт2015!E8-'факт 2014'!F26)*100)/'факт 2014'!F26</f>
        <v>19.261620912042257</v>
      </c>
      <c r="F8" s="16">
        <f>((факт2015!F8-'факт 2014'!G26)*100)/'факт 2014'!G26</f>
        <v>18.064413424282517</v>
      </c>
      <c r="G8" s="16">
        <f>((факт2015!G8-'факт 2014'!H26)*100)/'факт 2014'!H26</f>
        <v>75.914630066350711</v>
      </c>
      <c r="H8" s="16">
        <f>((факт2015!H8-'факт 2014'!I26)*100)/'факт 2014'!I26</f>
        <v>62.521307639720426</v>
      </c>
      <c r="I8" s="16">
        <f>((факт2015!I8-'факт 2014'!J26)*100)/'факт 2014'!J26</f>
        <v>57.220479679642978</v>
      </c>
      <c r="J8" s="16">
        <f>((факт2015!J8-'факт 2014'!K26)*100)/'факт 2014'!K26</f>
        <v>53.348582197051861</v>
      </c>
      <c r="K8" s="16">
        <f>((факт2015!K8-'факт 2014'!L26)*100)/'факт 2014'!L26</f>
        <v>60.392078848623484</v>
      </c>
      <c r="L8" s="16">
        <f>((факт2015!L8-'факт 2014'!M26)*100)/'факт 2014'!M26</f>
        <v>49.247114181434434</v>
      </c>
      <c r="M8" s="16">
        <f>((факт2015!M8-'факт 2014'!N26)*100)/'факт 2014'!N26</f>
        <v>44.896591302436939</v>
      </c>
      <c r="N8" s="16">
        <f>((факт2015!N8-'факт 2014'!O26)*100)/'факт 2014'!O26</f>
        <v>41.740134664153707</v>
      </c>
      <c r="O8" s="16">
        <f>((факт2015!O8-'факт 2014'!P26)*100)/'факт 2014'!P26</f>
        <v>45.104227589984582</v>
      </c>
      <c r="P8" s="16">
        <f>((факт2015!P8-'факт 2014'!Q26)*100)/'факт 2014'!Q26</f>
        <v>37.427061805460731</v>
      </c>
      <c r="Q8" s="16">
        <f>((факт2015!Q8-'факт 2014'!R26)*100)/'факт 2014'!R26</f>
        <v>34.356473316416974</v>
      </c>
      <c r="R8" s="16">
        <f>((факт2015!R8-'факт 2014'!S26)*100)/'факт 2014'!S26</f>
        <v>32.101960296541336</v>
      </c>
      <c r="S8" s="16">
        <f>((факт2015!S8-'факт 2014'!T26)*100)/'факт 2014'!T26</f>
        <v>50.30669471537712</v>
      </c>
      <c r="T8" s="16">
        <f>((факт2015!T8-'факт 2014'!U26)*100)/'факт 2014'!U26</f>
        <v>40.085768145223135</v>
      </c>
      <c r="U8" s="16">
        <f>((факт2015!U8-'факт 2014'!V26)*100)/'факт 2014'!V26</f>
        <v>36.221556024380149</v>
      </c>
      <c r="V8" s="16">
        <f>((факт2015!V8-'факт 2014'!W26)*100)/'факт 2014'!W26</f>
        <v>33.460422083310071</v>
      </c>
      <c r="W8" s="16">
        <f>((факт2015!W8-'факт 2014'!X26)*100)/'факт 2014'!X26</f>
        <v>31.225624870283472</v>
      </c>
      <c r="X8" s="16">
        <f>((факт2015!X8-'факт 2014'!Y26)*100)/'факт 2014'!Y26</f>
        <v>24.359325875648491</v>
      </c>
      <c r="Y8" s="16">
        <f>((факт2015!Y8-'факт 2014'!Z26)*100)/'факт 2014'!Z26</f>
        <v>21.837870792093124</v>
      </c>
      <c r="Z8" s="16">
        <f>((факт2015!Z8-'факт 2014'!AA26)*100)/'факт 2014'!AA26</f>
        <v>20.060368427815465</v>
      </c>
    </row>
    <row r="9" spans="1:27" ht="15.75" customHeight="1">
      <c r="A9" s="788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6">
        <v>41944</v>
      </c>
      <c r="T9" s="796"/>
      <c r="U9" s="796"/>
      <c r="V9" s="796"/>
      <c r="W9" s="796">
        <v>41974</v>
      </c>
      <c r="X9" s="796"/>
      <c r="Y9" s="796"/>
      <c r="Z9" s="796"/>
    </row>
    <row r="10" spans="1:27">
      <c r="A10" s="791"/>
      <c r="B10" s="792"/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2</v>
      </c>
      <c r="H10" s="11" t="s">
        <v>3</v>
      </c>
      <c r="I10" s="11" t="s">
        <v>4</v>
      </c>
      <c r="J10" s="11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13" t="s">
        <v>5</v>
      </c>
    </row>
    <row r="11" spans="1:27" ht="24">
      <c r="A11" s="14" t="s">
        <v>6</v>
      </c>
      <c r="B11" s="15" t="s">
        <v>33</v>
      </c>
      <c r="C11" s="16">
        <f>((факт2015!C11-'факт 2014'!D31)*100)/'факт 2014'!D31</f>
        <v>50.66424525202568</v>
      </c>
      <c r="D11" s="16">
        <f>((факт2015!D11-'факт 2014'!E31)*100)/'факт 2014'!E31</f>
        <v>43.815380022988471</v>
      </c>
      <c r="E11" s="16">
        <f>((факт2015!E11-'факт 2014'!F31)*100)/'факт 2014'!F31</f>
        <v>41.254818528033212</v>
      </c>
      <c r="F11" s="16">
        <f>((факт2015!F11-'факт 2014'!G31)*100)/'факт 2014'!G31</f>
        <v>39.434508998270736</v>
      </c>
      <c r="G11" s="16">
        <f>((факт2015!G11-'факт 2014'!H31)*100)/'факт 2014'!H31</f>
        <v>28.29316674203827</v>
      </c>
      <c r="H11" s="16">
        <f>((факт2015!H11-'факт 2014'!I31)*100)/'факт 2014'!I31</f>
        <v>26.523106906223926</v>
      </c>
      <c r="I11" s="16">
        <f>((факт2015!I11-'факт 2014'!J31)*100)/'факт 2014'!J31</f>
        <v>25.81702586116397</v>
      </c>
      <c r="J11" s="16">
        <f>((факт2015!J11-'факт 2014'!K31)*100)/'факт 2014'!K31</f>
        <v>25.29909412892917</v>
      </c>
      <c r="K11" s="16">
        <f>((факт2015!K11-'факт 2014'!L31)*100)/'факт 2014'!L31</f>
        <v>16.620935218745217</v>
      </c>
      <c r="L11" s="16">
        <f>((факт2015!L11-'факт 2014'!M31)*100)/'факт 2014'!M31</f>
        <v>16.826763829082456</v>
      </c>
      <c r="M11" s="16">
        <f>((факт2015!M11-'факт 2014'!N31)*100)/'факт 2014'!N31</f>
        <v>16.911835061514505</v>
      </c>
      <c r="N11" s="16">
        <f>((факт2015!N11-'факт 2014'!O31)*100)/'факт 2014'!O31</f>
        <v>16.975174009520739</v>
      </c>
      <c r="O11" s="16">
        <f>((факт2015!O11-'факт 2014'!P31)*100)/'факт 2014'!P31</f>
        <v>13.389403058241234</v>
      </c>
      <c r="P11" s="16">
        <f>((факт2015!P11-'факт 2014'!Q31)*100)/'факт 2014'!Q31</f>
        <v>14.032831876397649</v>
      </c>
      <c r="Q11" s="16">
        <f>((факт2015!Q11-'факт 2014'!R31)*100)/'факт 2014'!R31</f>
        <v>14.303506146648214</v>
      </c>
      <c r="R11" s="16">
        <f>((факт2015!R11-'факт 2014'!S31)*100)/'факт 2014'!S31</f>
        <v>14.507245793234256</v>
      </c>
      <c r="S11" s="16">
        <f>((факт2015!S11-'факт 2014'!T31)*100)/'факт 2014'!T31</f>
        <v>11.717275578481567</v>
      </c>
      <c r="T11" s="16">
        <f>((факт2015!T11-'факт 2014'!U31)*100)/'факт 2014'!U31</f>
        <v>12.468625501652234</v>
      </c>
      <c r="U11" s="16">
        <f>((факт2015!U11-'факт 2014'!V31)*100)/'факт 2014'!V31</f>
        <v>12.795282625723926</v>
      </c>
      <c r="V11" s="16">
        <f>((факт2015!V11-'факт 2014'!W31)*100)/'факт 2014'!W31</f>
        <v>13.045524533262451</v>
      </c>
      <c r="W11" s="16">
        <f>((факт2015!W11-'факт 2014'!X31)*100)/'факт 2014'!X31</f>
        <v>0.90399283252668439</v>
      </c>
      <c r="X11" s="16">
        <f>((факт2015!X11-'факт 2014'!Y31)*100)/'факт 2014'!Y31</f>
        <v>2.8724832214765108</v>
      </c>
      <c r="Y11" s="16">
        <f>((факт2015!Y11-'факт 2014'!Z31)*100)/'факт 2014'!Z31</f>
        <v>3.7347910700441465</v>
      </c>
      <c r="Z11" s="16">
        <f>((факт2015!Z11-'факт 2014'!AA31)*100)/'факт 2014'!AA31</f>
        <v>4.398281720843765</v>
      </c>
      <c r="AA11" s="19"/>
    </row>
    <row r="12" spans="1:27" ht="24">
      <c r="A12" s="14" t="s">
        <v>8</v>
      </c>
      <c r="B12" s="15" t="s">
        <v>33</v>
      </c>
      <c r="C12" s="16">
        <f>((факт2015!C12-'факт 2014'!D32)*100)/'факт 2014'!D32</f>
        <v>51.374488152635863</v>
      </c>
      <c r="D12" s="16">
        <f>((факт2015!D12-'факт 2014'!E32)*100)/'факт 2014'!E32</f>
        <v>44.338637649368209</v>
      </c>
      <c r="E12" s="16">
        <f>((факт2015!E12-'факт 2014'!F32)*100)/'факт 2014'!F32</f>
        <v>41.71338640674675</v>
      </c>
      <c r="F12" s="16">
        <f>((факт2015!F12-'факт 2014'!G32)*100)/'факт 2014'!G32</f>
        <v>39.848815933496674</v>
      </c>
      <c r="G12" s="16">
        <f>((факт2015!G12-'факт 2014'!H32)*100)/'факт 2014'!H32</f>
        <v>28.970799247485836</v>
      </c>
      <c r="H12" s="16">
        <f>((факт2015!H12-'факт 2014'!I32)*100)/'факт 2014'!I32</f>
        <v>27.072470870630958</v>
      </c>
      <c r="I12" s="16">
        <f>((факт2015!I12-'факт 2014'!J32)*100)/'факт 2014'!J32</f>
        <v>26.316605570794653</v>
      </c>
      <c r="J12" s="16">
        <f>((факт2015!J12-'факт 2014'!K32)*100)/'факт 2014'!K32</f>
        <v>25.762667542776899</v>
      </c>
      <c r="K12" s="16">
        <f>((факт2015!K12-'факт 2014'!L32)*100)/'факт 2014'!L32</f>
        <v>17.273247625233935</v>
      </c>
      <c r="L12" s="16">
        <f>((факт2015!L12-'факт 2014'!M32)*100)/'факт 2014'!M32</f>
        <v>17.382581886561407</v>
      </c>
      <c r="M12" s="16">
        <f>((факт2015!M12-'факт 2014'!N32)*100)/'факт 2014'!N32</f>
        <v>17.427589841295571</v>
      </c>
      <c r="N12" s="16">
        <f>((факт2015!N12-'факт 2014'!O32)*100)/'факт 2014'!O32</f>
        <v>17.46095333476406</v>
      </c>
      <c r="O12" s="16">
        <f>((факт2015!O12-'факт 2014'!P32)*100)/'факт 2014'!P32</f>
        <v>14.038722583410728</v>
      </c>
      <c r="P12" s="16">
        <f>((факт2015!P12-'факт 2014'!Q32)*100)/'факт 2014'!Q32</f>
        <v>14.59539125228364</v>
      </c>
      <c r="Q12" s="16">
        <f>((факт2015!Q12-'факт 2014'!R32)*100)/'факт 2014'!R32</f>
        <v>14.829165534760232</v>
      </c>
      <c r="R12" s="16">
        <f>((факт2015!R12-'факт 2014'!S32)*100)/'факт 2014'!S32</f>
        <v>15.004951386388141</v>
      </c>
      <c r="S12" s="16">
        <f>((факт2015!S12-'факт 2014'!T32)*100)/'факт 2014'!T32</f>
        <v>12.379971305759742</v>
      </c>
      <c r="T12" s="16">
        <f>((факт2015!T12-'факт 2014'!U32)*100)/'факт 2014'!U32</f>
        <v>13.057008165136699</v>
      </c>
      <c r="U12" s="16">
        <f>((факт2015!U12-'факт 2014'!V32)*100)/'факт 2014'!V32</f>
        <v>13.350918324423853</v>
      </c>
      <c r="V12" s="16">
        <f>((факт2015!V12-'факт 2014'!W32)*100)/'факт 2014'!W32</f>
        <v>13.575880222397734</v>
      </c>
      <c r="W12" s="16">
        <f>((факт2015!W12-'факт 2014'!X32)*100)/'факт 2014'!X32</f>
        <v>1.5090317245598937</v>
      </c>
      <c r="X12" s="16">
        <f>((факт2015!X12-'факт 2014'!Y32)*100)/'факт 2014'!Y32</f>
        <v>3.4218732833588286</v>
      </c>
      <c r="Y12" s="16">
        <f>((факт2015!Y12-'факт 2014'!Z32)*100)/'факт 2014'!Z32</f>
        <v>4.2586411541188403</v>
      </c>
      <c r="Z12" s="16">
        <f>((факт2015!Z12-'факт 2014'!AA32)*100)/'факт 2014'!AA32</f>
        <v>4.9019942825252691</v>
      </c>
      <c r="AA12" s="19"/>
    </row>
    <row r="13" spans="1:27" ht="24">
      <c r="A13" s="14" t="s">
        <v>9</v>
      </c>
      <c r="B13" s="15" t="s">
        <v>33</v>
      </c>
      <c r="C13" s="16">
        <f>((факт2015!C13-'факт 2014'!D33)*100)/'факт 2014'!D33</f>
        <v>55.842624370528839</v>
      </c>
      <c r="D13" s="16">
        <f>((факт2015!D13-'факт 2014'!E33)*100)/'факт 2014'!E33</f>
        <v>47.597502049810082</v>
      </c>
      <c r="E13" s="16">
        <f>((факт2015!E13-'факт 2014'!F33)*100)/'факт 2014'!F33</f>
        <v>44.558760507938587</v>
      </c>
      <c r="F13" s="16">
        <f>((факт2015!F13-'факт 2014'!G33)*100)/'факт 2014'!G33</f>
        <v>42.41280566498024</v>
      </c>
      <c r="G13" s="16">
        <f>((факт2015!G13-'факт 2014'!H33)*100)/'факт 2014'!H33</f>
        <v>33.25434127224139</v>
      </c>
      <c r="H13" s="16">
        <f>((факт2015!H13-'факт 2014'!I33)*100)/'факт 2014'!I33</f>
        <v>30.513131989583044</v>
      </c>
      <c r="I13" s="16">
        <f>((факт2015!I13-'факт 2014'!J33)*100)/'факт 2014'!J33</f>
        <v>29.434000203735597</v>
      </c>
      <c r="J13" s="16">
        <f>((факт2015!J13-'факт 2014'!K33)*100)/'факт 2014'!K33</f>
        <v>28.64763119119392</v>
      </c>
      <c r="K13" s="16">
        <f>((факт2015!K13-'факт 2014'!L33)*100)/'факт 2014'!L33</f>
        <v>21.40312284916126</v>
      </c>
      <c r="L13" s="16">
        <f>((факт2015!L13-'факт 2014'!M33)*100)/'факт 2014'!M33</f>
        <v>20.871644510233718</v>
      </c>
      <c r="M13" s="16">
        <f>((факт2015!M13-'факт 2014'!N33)*100)/'факт 2014'!N33</f>
        <v>20.653803858842359</v>
      </c>
      <c r="N13" s="16">
        <f>((факт2015!N13-'факт 2014'!O33)*100)/'факт 2014'!O33</f>
        <v>20.491714181250455</v>
      </c>
      <c r="O13" s="16">
        <f>((факт2015!O13-'факт 2014'!P33)*100)/'факт 2014'!P33</f>
        <v>18.14174783989597</v>
      </c>
      <c r="P13" s="16">
        <f>((факт2015!P13-'факт 2014'!Q33)*100)/'факт 2014'!Q33</f>
        <v>18.121274540671195</v>
      </c>
      <c r="Q13" s="16">
        <f>((факт2015!Q13-'факт 2014'!R33)*100)/'факт 2014'!R33</f>
        <v>18.112534377245339</v>
      </c>
      <c r="R13" s="16">
        <f>((факт2015!R13-'факт 2014'!S33)*100)/'факт 2014'!S33</f>
        <v>18.105742918250474</v>
      </c>
      <c r="S13" s="16">
        <f>((факт2015!S13-'факт 2014'!T33)*100)/'факт 2014'!T33</f>
        <v>16.574625583883943</v>
      </c>
      <c r="T13" s="16">
        <f>((факт2015!T13-'факт 2014'!U33)*100)/'факт 2014'!U33</f>
        <v>16.754324990298262</v>
      </c>
      <c r="U13" s="16">
        <f>((факт2015!U13-'факт 2014'!V33)*100)/'факт 2014'!V33</f>
        <v>16.831497870267494</v>
      </c>
      <c r="V13" s="16">
        <f>((факт2015!V13-'факт 2014'!W33)*100)/'факт 2014'!W33</f>
        <v>16.890126218938764</v>
      </c>
      <c r="W13" s="16">
        <f>((факт2015!W13-'факт 2014'!X33)*100)/'факт 2014'!X33</f>
        <v>5.3569093012726885</v>
      </c>
      <c r="X13" s="16">
        <f>((факт2015!X13-'факт 2014'!Y33)*100)/'факт 2014'!Y33</f>
        <v>6.8910036819795213</v>
      </c>
      <c r="Y13" s="16">
        <f>((факт2015!Y13-'факт 2014'!Z33)*100)/'факт 2014'!Z33</f>
        <v>7.5562333523098024</v>
      </c>
      <c r="Z13" s="16">
        <f>((факт2015!Z13-'факт 2014'!AA33)*100)/'факт 2014'!AA33</f>
        <v>8.0652684338263967</v>
      </c>
      <c r="AA13" s="19"/>
    </row>
    <row r="14" spans="1:27" ht="24">
      <c r="A14" s="14" t="s">
        <v>10</v>
      </c>
      <c r="B14" s="15" t="s">
        <v>33</v>
      </c>
      <c r="C14" s="16">
        <f>((факт2015!C14-'факт 2014'!D34)*100)/'факт 2014'!D34</f>
        <v>59.727658943431578</v>
      </c>
      <c r="D14" s="16">
        <f>((факт2015!D14-'факт 2014'!E34)*100)/'факт 2014'!E34</f>
        <v>50.383594001361971</v>
      </c>
      <c r="E14" s="16">
        <f>((факт2015!E14-'факт 2014'!F34)*100)/'факт 2014'!F34</f>
        <v>46.976218311982159</v>
      </c>
      <c r="F14" s="16">
        <f>((факт2015!F14-'факт 2014'!G34)*100)/'факт 2014'!G34</f>
        <v>44.581612073932945</v>
      </c>
      <c r="G14" s="16">
        <f>((факт2015!G14-'факт 2014'!H34)*100)/'факт 2014'!H34</f>
        <v>37.005365412201158</v>
      </c>
      <c r="H14" s="16">
        <f>((факт2015!H14-'факт 2014'!I34)*100)/'факт 2014'!I34</f>
        <v>33.480680582667247</v>
      </c>
      <c r="I14" s="16">
        <f>((факт2015!I14-'факт 2014'!J34)*100)/'факт 2014'!J34</f>
        <v>32.10670746905879</v>
      </c>
      <c r="J14" s="16">
        <f>((факт2015!J14-'факт 2014'!K34)*100)/'факт 2014'!K34</f>
        <v>31.110310260030314</v>
      </c>
      <c r="K14" s="16">
        <f>((факт2015!K14-'факт 2014'!L34)*100)/'факт 2014'!L34</f>
        <v>25.036889219915977</v>
      </c>
      <c r="L14" s="16">
        <f>((факт2015!L14-'факт 2014'!M34)*100)/'факт 2014'!M34</f>
        <v>23.899508143610284</v>
      </c>
      <c r="M14" s="16">
        <f>((факт2015!M14-'факт 2014'!N34)*100)/'факт 2014'!N34</f>
        <v>23.437779961667314</v>
      </c>
      <c r="N14" s="16">
        <f>((факт2015!N14-'факт 2014'!O34)*100)/'факт 2014'!O34</f>
        <v>23.096064402536225</v>
      </c>
      <c r="O14" s="16">
        <f>((факт2015!O14-'факт 2014'!P34)*100)/'факт 2014'!P34</f>
        <v>21.759753968047104</v>
      </c>
      <c r="P14" s="16">
        <f>((факт2015!P14-'факт 2014'!Q34)*100)/'факт 2014'!Q34</f>
        <v>21.189677376563502</v>
      </c>
      <c r="Q14" s="16">
        <f>((факт2015!Q14-'факт 2014'!R34)*100)/'факт 2014'!R34</f>
        <v>20.954258069470381</v>
      </c>
      <c r="R14" s="16">
        <f>((факт2015!R14-'факт 2014'!S34)*100)/'факт 2014'!S34</f>
        <v>20.778439077006009</v>
      </c>
      <c r="S14" s="16">
        <f>((факт2015!S14-'факт 2014'!T34)*100)/'факт 2014'!T34</f>
        <v>20.287285740651519</v>
      </c>
      <c r="T14" s="16">
        <f>((факт2015!T14-'факт 2014'!U34)*100)/'факт 2014'!U34</f>
        <v>19.988617044468878</v>
      </c>
      <c r="U14" s="16">
        <f>((факт2015!U14-'факт 2014'!V34)*100)/'факт 2014'!V34</f>
        <v>19.86084341484414</v>
      </c>
      <c r="V14" s="16">
        <f>((факт2015!V14-'факт 2014'!W34)*100)/'факт 2014'!W34</f>
        <v>19.763602483824073</v>
      </c>
      <c r="W14" s="16">
        <f>((факт2015!W14-'факт 2014'!X34)*100)/'факт 2014'!X34</f>
        <v>8.7614895740322591</v>
      </c>
      <c r="X14" s="16">
        <f>((факт2015!X14-'факт 2014'!Y34)*100)/'факт 2014'!Y34</f>
        <v>9.9257701859647476</v>
      </c>
      <c r="Y14" s="16">
        <f>((факт2015!Y14-'факт 2014'!Z34)*100)/'факт 2014'!Z34</f>
        <v>10.426740265835388</v>
      </c>
      <c r="Z14" s="16">
        <f>((факт2015!Z14-'факт 2014'!AA34)*100)/'факт 2014'!AA34</f>
        <v>10.808468187058956</v>
      </c>
      <c r="AA14" s="19"/>
    </row>
    <row r="16" spans="1:27" ht="57" customHeight="1">
      <c r="A16" s="773" t="s">
        <v>34</v>
      </c>
      <c r="B16" s="774"/>
      <c r="C16" s="774"/>
      <c r="D16" s="774"/>
      <c r="E16" s="774"/>
      <c r="F16" s="774"/>
      <c r="G16" s="774"/>
      <c r="H16" s="774"/>
      <c r="I16" s="774"/>
      <c r="J16" s="774"/>
      <c r="K16" s="774"/>
      <c r="L16" s="774"/>
      <c r="M16" s="774"/>
      <c r="N16" s="774"/>
      <c r="O16" s="774"/>
      <c r="P16" s="774"/>
      <c r="Q16" s="774"/>
      <c r="R16" s="774"/>
      <c r="S16" s="774"/>
      <c r="T16" s="774"/>
      <c r="U16" s="774"/>
      <c r="V16" s="774"/>
      <c r="W16" s="774"/>
      <c r="X16" s="774"/>
      <c r="Y16" s="774"/>
      <c r="Z16" s="774"/>
    </row>
    <row r="17" spans="1:26" ht="15" customHeight="1">
      <c r="A17" s="788" t="s">
        <v>26</v>
      </c>
      <c r="B17" s="790"/>
      <c r="C17" s="793" t="s">
        <v>11</v>
      </c>
      <c r="D17" s="793"/>
      <c r="E17" s="793"/>
      <c r="F17" s="793"/>
      <c r="G17" s="793" t="s">
        <v>12</v>
      </c>
      <c r="H17" s="793"/>
      <c r="I17" s="793"/>
      <c r="J17" s="793"/>
      <c r="K17" s="788" t="s">
        <v>13</v>
      </c>
      <c r="L17" s="789"/>
      <c r="M17" s="789"/>
      <c r="N17" s="790"/>
      <c r="O17" s="788" t="s">
        <v>14</v>
      </c>
      <c r="P17" s="789"/>
      <c r="Q17" s="789"/>
      <c r="R17" s="790"/>
      <c r="S17" s="788" t="s">
        <v>15</v>
      </c>
      <c r="T17" s="789"/>
      <c r="U17" s="789"/>
      <c r="V17" s="790"/>
      <c r="W17" s="788" t="s">
        <v>16</v>
      </c>
      <c r="X17" s="789"/>
      <c r="Y17" s="789"/>
      <c r="Z17" s="790"/>
    </row>
    <row r="18" spans="1:26">
      <c r="A18" s="791"/>
      <c r="B18" s="792"/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2</v>
      </c>
      <c r="H18" s="11" t="s">
        <v>3</v>
      </c>
      <c r="I18" s="11" t="s">
        <v>4</v>
      </c>
      <c r="J18" s="11" t="s">
        <v>5</v>
      </c>
      <c r="K18" s="12" t="s">
        <v>2</v>
      </c>
      <c r="L18" s="12" t="s">
        <v>3</v>
      </c>
      <c r="M18" s="12" t="s">
        <v>4</v>
      </c>
      <c r="N18" s="12" t="s">
        <v>5</v>
      </c>
      <c r="O18" s="13" t="s">
        <v>2</v>
      </c>
      <c r="P18" s="13" t="s">
        <v>3</v>
      </c>
      <c r="Q18" s="13" t="s">
        <v>4</v>
      </c>
      <c r="R18" s="13" t="s">
        <v>5</v>
      </c>
      <c r="S18" s="12" t="s">
        <v>2</v>
      </c>
      <c r="T18" s="12" t="s">
        <v>3</v>
      </c>
      <c r="U18" s="12" t="s">
        <v>4</v>
      </c>
      <c r="V18" s="12" t="s">
        <v>5</v>
      </c>
      <c r="W18" s="13" t="s">
        <v>2</v>
      </c>
      <c r="X18" s="13" t="s">
        <v>3</v>
      </c>
      <c r="Y18" s="13" t="s">
        <v>4</v>
      </c>
      <c r="Z18" s="13" t="s">
        <v>5</v>
      </c>
    </row>
    <row r="19" spans="1:26" ht="24">
      <c r="A19" s="14" t="s">
        <v>6</v>
      </c>
      <c r="B19" s="15" t="s">
        <v>7</v>
      </c>
      <c r="C19" s="17">
        <f>факт2015!C5*'прогноз 2016 по факту'!C5%+факт2015!C5</f>
        <v>2623.4477385615546</v>
      </c>
      <c r="D19" s="17">
        <f>факт2015!D5*'прогноз 2016 по факту'!D5%+факт2015!D5</f>
        <v>2874.7721823940428</v>
      </c>
      <c r="E19" s="17">
        <f>факт2015!E5*'прогноз 2016 по факту'!E5%+факт2015!E5</f>
        <v>3009.3687760392781</v>
      </c>
      <c r="F19" s="17">
        <f>факт2015!F5*'прогноз 2016 по факту'!F5%+факт2015!F5</f>
        <v>3125.6462629178704</v>
      </c>
      <c r="G19" s="17">
        <f>факт2015!G5*'прогноз 2016 по факту'!G5%+факт2015!G5</f>
        <v>4668.3291868694396</v>
      </c>
      <c r="H19" s="17">
        <f>факт2015!H5*'прогноз 2016 по факту'!H5%+факт2015!H5</f>
        <v>4772.7126899447903</v>
      </c>
      <c r="I19" s="17">
        <f>факт2015!I5*'прогноз 2016 по факту'!I5%+факт2015!I5</f>
        <v>4848.7351621801308</v>
      </c>
      <c r="J19" s="17">
        <f>факт2015!J5*'прогноз 2016 по факту'!J5%+факт2015!J5</f>
        <v>4922.0808664859023</v>
      </c>
      <c r="K19" s="17">
        <f>факт2015!K5*'прогноз 2016 по факту'!K5%+факт2015!K5</f>
        <v>3658.5948174756177</v>
      </c>
      <c r="L19" s="17">
        <f>факт2015!L5*'прогноз 2016 по факту'!L5%+факт2015!L5</f>
        <v>3823.526916410402</v>
      </c>
      <c r="M19" s="17">
        <f>факт2015!M5*'прогноз 2016 по факту'!M5%+факт2015!M5</f>
        <v>3924.3797252913573</v>
      </c>
      <c r="N19" s="17">
        <f>факт2015!N5*'прогноз 2016 по факту'!N5%+факт2015!N5</f>
        <v>4016.1766626666295</v>
      </c>
      <c r="O19" s="17">
        <f>факт2015!O5*'прогноз 2016 по факту'!O5%+факт2015!O5</f>
        <v>3298.919501443047</v>
      </c>
      <c r="P19" s="17">
        <f>факт2015!P5*'прогноз 2016 по факту'!P5%+факт2015!P5</f>
        <v>3508.2327369645864</v>
      </c>
      <c r="Q19" s="17">
        <f>факт2015!Q5*'прогноз 2016 по факту'!Q5%+факт2015!Q5</f>
        <v>3625.9963956070233</v>
      </c>
      <c r="R19" s="17">
        <f>факт2015!R5*'прогноз 2016 по факту'!R5%+факт2015!R5</f>
        <v>3729.9056632397269</v>
      </c>
      <c r="S19" s="17">
        <f>факт2015!S5*'прогноз 2016 по факту'!S5%+факт2015!S5</f>
        <v>2836.5611640502248</v>
      </c>
      <c r="T19" s="17">
        <f>факт2015!T5*'прогноз 2016 по факту'!T5%+факт2015!T5</f>
        <v>3034.9369722347042</v>
      </c>
      <c r="U19" s="17">
        <f>факт2015!U5*'прогноз 2016 по факту'!U5%+факт2015!U5</f>
        <v>3149.9296134711144</v>
      </c>
      <c r="V19" s="17">
        <f>факт2015!V5*'прогноз 2016 по факту'!V5%+факт2015!V5</f>
        <v>3252.3646483590351</v>
      </c>
      <c r="W19" s="17">
        <f>факт2015!W5*'прогноз 2016 по факту'!W5%+факт2015!W5</f>
        <v>1936.6476744695397</v>
      </c>
      <c r="X19" s="17">
        <f>факт2015!X5*'прогноз 2016 по факту'!X5%+факт2015!X5</f>
        <v>2179.87460837039</v>
      </c>
      <c r="Y19" s="17">
        <f>факт2015!Y5*'прогноз 2016 по факту'!Y5%+факт2015!Y5</f>
        <v>2312.3740791988603</v>
      </c>
      <c r="Z19" s="17">
        <f>факт2015!Z5*'прогноз 2016 по факту'!Z5%+факт2015!Z5</f>
        <v>2427.5038651954915</v>
      </c>
    </row>
    <row r="20" spans="1:26" ht="24">
      <c r="A20" s="14" t="s">
        <v>8</v>
      </c>
      <c r="B20" s="15" t="s">
        <v>7</v>
      </c>
      <c r="C20" s="17">
        <f>факт2015!C6*'прогноз 2016 по факту'!C6%+факт2015!C6</f>
        <v>2591.2352751446447</v>
      </c>
      <c r="D20" s="17">
        <f>факт2015!D6*'прогноз 2016 по факту'!D6%+факт2015!D6</f>
        <v>2843.3552568509008</v>
      </c>
      <c r="E20" s="17">
        <f>факт2015!E6*'прогноз 2016 по факту'!E6%+факт2015!E6</f>
        <v>2978.2874920743147</v>
      </c>
      <c r="F20" s="17">
        <f>факт2015!F6*'прогноз 2016 по факту'!F6%+факт2015!F6</f>
        <v>3094.8180914169575</v>
      </c>
      <c r="G20" s="17">
        <f>факт2015!G6*'прогноз 2016 по факту'!G6%+факт2015!G6</f>
        <v>4607.620823252495</v>
      </c>
      <c r="H20" s="17">
        <f>факт2015!H6*'прогноз 2016 по факту'!H6%+факт2015!H6</f>
        <v>4715.4161762303138</v>
      </c>
      <c r="I20" s="17">
        <f>факт2015!I6*'прогноз 2016 по факту'!I6%+факт2015!I6</f>
        <v>4792.8687483623198</v>
      </c>
      <c r="J20" s="17">
        <f>факт2015!J6*'прогноз 2016 по факту'!J6%+факт2015!J6</f>
        <v>4867.2883249939914</v>
      </c>
      <c r="K20" s="17">
        <f>факт2015!K6*'прогноз 2016 по факту'!K6%+факт2015!K6</f>
        <v>3612.1300056392392</v>
      </c>
      <c r="L20" s="17">
        <f>факт2015!L6*'прогноз 2016 по факту'!L6%+факт2015!L6</f>
        <v>3779.4699277043746</v>
      </c>
      <c r="M20" s="17">
        <f>факт2015!M6*'прогноз 2016 по факту'!M6%+факт2015!M6</f>
        <v>3881.3155201196305</v>
      </c>
      <c r="N20" s="17">
        <f>факт2015!N6*'прогноз 2016 по факту'!N6%+факт2015!N6</f>
        <v>3973.8518001624734</v>
      </c>
      <c r="O20" s="17">
        <f>факт2015!O6*'прогноз 2016 по факту'!O6%+факт2015!O6</f>
        <v>3257.3927954462943</v>
      </c>
      <c r="P20" s="17">
        <f>факт2015!P6*'прогноз 2016 по факту'!P6%+факт2015!P6</f>
        <v>3468.3431529193499</v>
      </c>
      <c r="Q20" s="17">
        <f>факт2015!Q6*'прогноз 2016 по факту'!Q6%+факт2015!Q6</f>
        <v>3586.7932031730579</v>
      </c>
      <c r="R20" s="17">
        <f>факт2015!R6*'прогноз 2016 по факту'!R6%+факт2015!R6</f>
        <v>3691.2182047556962</v>
      </c>
      <c r="S20" s="17">
        <f>факт2015!S6*'прогноз 2016 по факту'!S6%+факт2015!S6</f>
        <v>2801.6717616225023</v>
      </c>
      <c r="T20" s="17">
        <f>факт2015!T6*'прогноз 2016 по факту'!T6%+факт2015!T6</f>
        <v>3001.8500522200038</v>
      </c>
      <c r="U20" s="17">
        <f>факт2015!U6*'прогноз 2016 по факту'!U6%+факт2015!U6</f>
        <v>3117.5620804520922</v>
      </c>
      <c r="V20" s="17">
        <f>факт2015!V6*'прогноз 2016 по факту'!V6%+факт2015!V6</f>
        <v>3220.5242189418668</v>
      </c>
      <c r="W20" s="17">
        <f>факт2015!W6*'прогноз 2016 по факту'!W6%+факт2015!W6</f>
        <v>1914.2832277315731</v>
      </c>
      <c r="X20" s="17">
        <f>факт2015!X6*'прогноз 2016 по факту'!X6%+факт2015!X6</f>
        <v>2158.4271450794749</v>
      </c>
      <c r="Y20" s="17">
        <f>факт2015!Y6*'прогноз 2016 по факту'!Y6%+факт2015!Y6</f>
        <v>2291.2797473463979</v>
      </c>
      <c r="Z20" s="17">
        <f>факт2015!Z6*'прогноз 2016 по факту'!Z6%+факт2015!Z6</f>
        <v>2406.6639021992423</v>
      </c>
    </row>
    <row r="21" spans="1:26" ht="24">
      <c r="A21" s="14" t="s">
        <v>9</v>
      </c>
      <c r="B21" s="15" t="s">
        <v>7</v>
      </c>
      <c r="C21" s="17">
        <f>факт2015!C7*'прогноз 2016 по факту'!C7%+факт2015!C7</f>
        <v>2400.4147428318556</v>
      </c>
      <c r="D21" s="17">
        <f>факт2015!D7*'прогноз 2016 по факту'!D7%+факт2015!D7</f>
        <v>2657.1724989652766</v>
      </c>
      <c r="E21" s="17">
        <f>факт2015!E7*'прогноз 2016 по факту'!E7%+факт2015!E7</f>
        <v>2794.0504953853028</v>
      </c>
      <c r="F21" s="17">
        <f>факт2015!F7*'прогноз 2016 по факту'!F7%+факт2015!F7</f>
        <v>2912.0442726306733</v>
      </c>
      <c r="G21" s="17">
        <f>факт2015!G7*'прогноз 2016 по факту'!G7%+факт2015!G7</f>
        <v>4248.8117073797603</v>
      </c>
      <c r="H21" s="17">
        <f>факт2015!H7*'прогноз 2016 по факту'!H7%+факт2015!H7</f>
        <v>4376.9745869879816</v>
      </c>
      <c r="I21" s="17">
        <f>факт2015!I7*'прогноз 2016 по факту'!I7%+факт2015!I7</f>
        <v>4462.9086138944685</v>
      </c>
      <c r="J21" s="17">
        <f>факт2015!J7*'прогноз 2016 по факту'!J7%+факт2015!J7</f>
        <v>4543.6766219060055</v>
      </c>
      <c r="K21" s="17">
        <f>факт2015!K7*'прогноз 2016 по факту'!K7%+факт2015!K7</f>
        <v>3337.4769488080237</v>
      </c>
      <c r="L21" s="17">
        <f>факт2015!L7*'прогноз 2016 по факту'!L7%+факт2015!L7</f>
        <v>3519.1286097179391</v>
      </c>
      <c r="M21" s="17">
        <f>факт2015!M7*'прогноз 2016 по факту'!M7%+факт2015!M7</f>
        <v>3626.8365395227356</v>
      </c>
      <c r="N21" s="17">
        <f>факт2015!N7*'прогноз 2016 по факту'!N7%+факт2015!N7</f>
        <v>3723.7247613199706</v>
      </c>
      <c r="O21" s="17">
        <f>факт2015!O7*'прогноз 2016 по факту'!O7%+факт2015!O7</f>
        <v>3011.8525835583755</v>
      </c>
      <c r="P21" s="17">
        <f>факт2015!P7*'прогноз 2016 по факту'!P7%+факт2015!P7</f>
        <v>3232.4896060432443</v>
      </c>
      <c r="Q21" s="17">
        <f>факт2015!Q7*'прогноз 2016 по факту'!Q7%+факт2015!Q7</f>
        <v>3354.9761937899971</v>
      </c>
      <c r="R21" s="17">
        <f>факт2015!R7*'прогноз 2016 по факту'!R7%+факт2015!R7</f>
        <v>3462.4249489485337</v>
      </c>
      <c r="S21" s="17">
        <f>факт2015!S7*'прогноз 2016 по факту'!S7%+факт2015!S7</f>
        <v>2595.3329686200714</v>
      </c>
      <c r="T21" s="17">
        <f>факт2015!T7*'прогноз 2016 по факту'!T7%+факт2015!T7</f>
        <v>2806.1793855234819</v>
      </c>
      <c r="U21" s="17">
        <f>факт2015!U7*'прогноз 2016 по факту'!U7%+факт2015!U7</f>
        <v>2926.1203842116083</v>
      </c>
      <c r="V21" s="17">
        <f>факт2015!V7*'прогноз 2016 по факту'!V7%+факт2015!V7</f>
        <v>3032.1712753326688</v>
      </c>
      <c r="W21" s="17">
        <f>факт2015!W7*'прогноз 2016 по факту'!W7%+факт2015!W7</f>
        <v>1781.8453582683412</v>
      </c>
      <c r="X21" s="17">
        <f>факт2015!X7*'прогноз 2016 по факту'!X7%+факт2015!X7</f>
        <v>2031.3599134417493</v>
      </c>
      <c r="Y21" s="17">
        <f>факт2015!Y7*'прогноз 2016 по факту'!Y7%+факт2015!Y7</f>
        <v>2166.2667445036759</v>
      </c>
      <c r="Z21" s="17">
        <f>факт2015!Z7*'прогноз 2016 по факту'!Z7%+факт2015!Z7</f>
        <v>2283.1259978782141</v>
      </c>
    </row>
    <row r="22" spans="1:26" ht="24">
      <c r="A22" s="14" t="s">
        <v>10</v>
      </c>
      <c r="B22" s="15" t="s">
        <v>7</v>
      </c>
      <c r="C22" s="17">
        <f>факт2015!C8*'прогноз 2016 по факту'!C8%+факт2015!C8</f>
        <v>2249.1249417622348</v>
      </c>
      <c r="D22" s="17">
        <f>факт2015!D8*'прогноз 2016 по факту'!D8%+факт2015!D8</f>
        <v>2509.3552489264694</v>
      </c>
      <c r="E22" s="17">
        <f>факт2015!E8*'прогноз 2016 по факту'!E8%+факт2015!E8</f>
        <v>2647.6795412198853</v>
      </c>
      <c r="F22" s="17">
        <f>факт2015!F8*'прогноз 2016 по факту'!F8%+факт2015!F8</f>
        <v>2766.7568835086636</v>
      </c>
      <c r="G22" s="17">
        <f>факт2015!G8*'прогноз 2016 по факту'!G8%+факт2015!G8</f>
        <v>3964.957438528485</v>
      </c>
      <c r="H22" s="17">
        <f>факт2015!H8*'прогноз 2016 по факту'!H8%+факт2015!H8</f>
        <v>4109.1562381011636</v>
      </c>
      <c r="I22" s="17">
        <f>факт2015!I8*'прогноз 2016 по факту'!I8%+факт2015!I8</f>
        <v>4201.7173194384586</v>
      </c>
      <c r="J22" s="17">
        <f>факт2015!J8*'прогноз 2016 по факту'!J8%+факт2015!J8</f>
        <v>4287.4270050727137</v>
      </c>
      <c r="K22" s="17">
        <f>факт2015!K8*'прогноз 2016 по факту'!K8%+факт2015!K8</f>
        <v>3120.0589922186182</v>
      </c>
      <c r="L22" s="17">
        <f>факт2015!L8*'прогноз 2016 по факту'!L8%+факт2015!L8</f>
        <v>3312.8978923309733</v>
      </c>
      <c r="M22" s="17">
        <f>факт2015!M8*'прогноз 2016 по факту'!M8%+факт2015!M8</f>
        <v>3425.152563161786</v>
      </c>
      <c r="N22" s="17">
        <f>факт2015!N8*'прогноз 2016 по факту'!N8%+факт2015!N8</f>
        <v>3525.4031514072308</v>
      </c>
      <c r="O22" s="17">
        <f>факт2015!O8*'прогноз 2016 по факту'!O8%+факт2015!O8</f>
        <v>2817.3436828871404</v>
      </c>
      <c r="P22" s="17">
        <f>факт2015!P8*'прогноз 2016 по факту'!P8%+факт2015!P8</f>
        <v>3045.4798885522741</v>
      </c>
      <c r="Q22" s="17">
        <f>факт2015!Q8*'прогноз 2016 по факту'!Q8%+факт2015!Q8</f>
        <v>3171.0680475667418</v>
      </c>
      <c r="R22" s="17">
        <f>факт2015!R8*'прогноз 2016 по факту'!R8%+факт2015!R8</f>
        <v>3280.8314451407819</v>
      </c>
      <c r="S22" s="17">
        <f>факт2015!S8*'прогноз 2016 по факту'!S8%+факт2015!S8</f>
        <v>2431.9322591558584</v>
      </c>
      <c r="T22" s="17">
        <f>факт2015!T8*'прогноз 2016 по факту'!T8%+факт2015!T8</f>
        <v>2651.0531192642752</v>
      </c>
      <c r="U22" s="17">
        <f>факт2015!U8*'прогноз 2016 по факту'!U8%+факт2015!U8</f>
        <v>2774.2473435257189</v>
      </c>
      <c r="V22" s="17">
        <f>факт2015!V8*'прогноз 2016 по факту'!V8%+факт2015!V8</f>
        <v>2882.6650407462475</v>
      </c>
      <c r="W22" s="17">
        <f>факт2015!W8*'прогноз 2016 по факту'!W8%+факт2015!W8</f>
        <v>1676.7747894675081</v>
      </c>
      <c r="X22" s="17">
        <f>факт2015!X8*'прогноз 2016 по факту'!X8%+факт2015!X8</f>
        <v>1930.367635904754</v>
      </c>
      <c r="Y22" s="17">
        <f>факт2015!Y8*'прогноз 2016 по факту'!Y8%+факт2015!Y8</f>
        <v>2066.8210887558303</v>
      </c>
      <c r="Z22" s="17">
        <f>факт2015!Z8*'прогноз 2016 по факту'!Z8%+факт2015!Z8</f>
        <v>2184.7865484283293</v>
      </c>
    </row>
    <row r="23" spans="1:26" ht="15" customHeight="1">
      <c r="A23" s="788" t="s">
        <v>27</v>
      </c>
      <c r="B23" s="790"/>
      <c r="C23" s="793" t="s">
        <v>17</v>
      </c>
      <c r="D23" s="793"/>
      <c r="E23" s="793"/>
      <c r="F23" s="793"/>
      <c r="G23" s="793" t="s">
        <v>18</v>
      </c>
      <c r="H23" s="793"/>
      <c r="I23" s="793"/>
      <c r="J23" s="793"/>
      <c r="K23" s="793" t="s">
        <v>19</v>
      </c>
      <c r="L23" s="793"/>
      <c r="M23" s="793"/>
      <c r="N23" s="793"/>
      <c r="O23" s="793" t="s">
        <v>20</v>
      </c>
      <c r="P23" s="793"/>
      <c r="Q23" s="793"/>
      <c r="R23" s="793"/>
      <c r="S23" s="793" t="s">
        <v>274</v>
      </c>
      <c r="T23" s="793"/>
      <c r="U23" s="793"/>
      <c r="V23" s="793"/>
      <c r="W23" s="793" t="s">
        <v>275</v>
      </c>
      <c r="X23" s="793"/>
      <c r="Y23" s="793"/>
      <c r="Z23" s="793"/>
    </row>
    <row r="24" spans="1:26">
      <c r="A24" s="791"/>
      <c r="B24" s="792"/>
      <c r="C24" s="11" t="s">
        <v>2</v>
      </c>
      <c r="D24" s="11" t="s">
        <v>3</v>
      </c>
      <c r="E24" s="11" t="s">
        <v>4</v>
      </c>
      <c r="F24" s="11" t="s">
        <v>5</v>
      </c>
      <c r="G24" s="11" t="s">
        <v>2</v>
      </c>
      <c r="H24" s="11" t="s">
        <v>3</v>
      </c>
      <c r="I24" s="11" t="s">
        <v>4</v>
      </c>
      <c r="J24" s="11" t="s">
        <v>5</v>
      </c>
      <c r="K24" s="12" t="s">
        <v>2</v>
      </c>
      <c r="L24" s="12" t="s">
        <v>3</v>
      </c>
      <c r="M24" s="12" t="s">
        <v>4</v>
      </c>
      <c r="N24" s="12" t="s">
        <v>5</v>
      </c>
      <c r="O24" s="13" t="s">
        <v>2</v>
      </c>
      <c r="P24" s="13" t="s">
        <v>3</v>
      </c>
      <c r="Q24" s="13" t="s">
        <v>4</v>
      </c>
      <c r="R24" s="13" t="s">
        <v>5</v>
      </c>
      <c r="S24" s="12" t="s">
        <v>2</v>
      </c>
      <c r="T24" s="12" t="s">
        <v>3</v>
      </c>
      <c r="U24" s="12" t="s">
        <v>4</v>
      </c>
      <c r="V24" s="12" t="s">
        <v>5</v>
      </c>
      <c r="W24" s="13" t="s">
        <v>2</v>
      </c>
      <c r="X24" s="13" t="s">
        <v>3</v>
      </c>
      <c r="Y24" s="13" t="s">
        <v>4</v>
      </c>
      <c r="Z24" s="13" t="s">
        <v>5</v>
      </c>
    </row>
    <row r="25" spans="1:26" ht="24">
      <c r="A25" s="14" t="s">
        <v>6</v>
      </c>
      <c r="B25" s="15" t="s">
        <v>7</v>
      </c>
      <c r="C25" s="17">
        <f>факт2015!C11*'прогноз 2016 по факту'!C11%+факт2015!C11</f>
        <v>2348.2378600735469</v>
      </c>
      <c r="D25" s="17">
        <f>факт2015!D11*'прогноз 2016 по факту'!D11%+факт2015!D11</f>
        <v>2707.281384318751</v>
      </c>
      <c r="E25" s="17">
        <f>факт2015!E11*'прогноз 2016 по факту'!E11%+факт2015!E11</f>
        <v>2899.2975267334405</v>
      </c>
      <c r="F25" s="17">
        <f>факт2015!F11*'прогноз 2016 по факту'!F11%+факт2015!F11</f>
        <v>3064.909942290989</v>
      </c>
      <c r="G25" s="17">
        <f>факт2015!G11*'прогноз 2016 по факту'!G11%+факт2015!G11</f>
        <v>2174.7616160276621</v>
      </c>
      <c r="H25" s="17">
        <f>факт2015!H11*'прогноз 2016 по факту'!H11%+факт2015!H11</f>
        <v>2554.539485368733</v>
      </c>
      <c r="I25" s="17">
        <f>факт2015!I11*'прогноз 2016 по факту'!I11%+факт2015!I11</f>
        <v>2754.2479314241546</v>
      </c>
      <c r="J25" s="17">
        <f>факт2015!J11*'прогноз 2016 по факту'!J11%+факт2015!J11</f>
        <v>2925.3078309904581</v>
      </c>
      <c r="K25" s="17">
        <f>факт2015!K11*'прогноз 2016 по факту'!K11%+факт2015!K11</f>
        <v>2131.352549964266</v>
      </c>
      <c r="L25" s="17">
        <f>факт2015!L11*'прогноз 2016 по факту'!L11%+факт2015!L11</f>
        <v>2513.4927757535602</v>
      </c>
      <c r="M25" s="17">
        <f>факт2015!M11*'прогноз 2016 по факту'!M11%+факт2015!M11</f>
        <v>2714.1433245035773</v>
      </c>
      <c r="N25" s="17">
        <f>факт2015!N11*'прогноз 2016 по факту'!N11%+факт2015!N11</f>
        <v>2885.894517988886</v>
      </c>
      <c r="O25" s="17">
        <f>факт2015!O11*'прогноз 2016 по факту'!O11%+факт2015!O11</f>
        <v>2176.8837767330324</v>
      </c>
      <c r="P25" s="17">
        <f>факт2015!P11*'прогноз 2016 по факту'!P11%+факт2015!P11</f>
        <v>2558.5660520939218</v>
      </c>
      <c r="Q25" s="17">
        <f>факт2015!Q11*'прогноз 2016 по факту'!Q11%+факт2015!Q11</f>
        <v>2759.0237403159508</v>
      </c>
      <c r="R25" s="17">
        <f>факт2015!R11*'прогноз 2016 по факту'!R11%+факт2015!R11</f>
        <v>2930.6297444845613</v>
      </c>
      <c r="S25" s="17">
        <f>факт2015!S11*'прогноз 2016 по факту'!S11%+факт2015!S11</f>
        <v>2522.788345385713</v>
      </c>
      <c r="T25" s="17">
        <f>факт2015!T11*'прогноз 2016 по факту'!T11%+факт2015!T11</f>
        <v>2904.0186384905119</v>
      </c>
      <c r="U25" s="17">
        <f>факт2015!U11*'прогноз 2016 по факту'!U11%+факт2015!U11</f>
        <v>3104.2728117273359</v>
      </c>
      <c r="V25" s="17">
        <f>факт2015!V11*'прогноз 2016 по факту'!V11%+факт2015!V11</f>
        <v>3275.7201644003458</v>
      </c>
      <c r="W25" s="17">
        <f>факт2015!W11*'прогноз 2016 по факту'!W11%+факт2015!W11</f>
        <v>2147.8423914331629</v>
      </c>
      <c r="X25" s="17">
        <f>факт2015!X11*'прогноз 2016 по факту'!X11%+факт2015!X11</f>
        <v>2522.9270765100673</v>
      </c>
      <c r="Y25" s="17">
        <f>факт2015!Y11*'прогноз 2016 по факту'!Y11%+факт2015!Y11</f>
        <v>2720.4863897283358</v>
      </c>
      <c r="Z25" s="17">
        <f>факт2015!Z11*'прогноз 2016 по факту'!Z11%+факт2015!Z11</f>
        <v>2889.8592761428486</v>
      </c>
    </row>
    <row r="26" spans="1:26" ht="24">
      <c r="A26" s="14" t="s">
        <v>8</v>
      </c>
      <c r="B26" s="15" t="s">
        <v>7</v>
      </c>
      <c r="C26" s="17">
        <f>факт2015!C12*'прогноз 2016 по факту'!C12%+факт2015!C12</f>
        <v>2354.2063146474238</v>
      </c>
      <c r="D26" s="17">
        <f>факт2015!D12*'прогноз 2016 по факту'!D12%+факт2015!D12</f>
        <v>2712.2673400692784</v>
      </c>
      <c r="E26" s="17">
        <f>факт2015!E12*'прогноз 2016 по факту'!E12%+факт2015!E12</f>
        <v>2903.9340288924923</v>
      </c>
      <c r="F26" s="17">
        <f>факт2015!F12*'прогноз 2016 по факту'!F12%+факт2015!F12</f>
        <v>3069.3039179372317</v>
      </c>
      <c r="G26" s="17">
        <f>факт2015!G12*'прогноз 2016 по факту'!G12%+факт2015!G12</f>
        <v>2181.4120984719757</v>
      </c>
      <c r="H26" s="17">
        <f>факт2015!H12*'прогноз 2016 по факту'!H12%+факт2015!H12</f>
        <v>2560.8660909616519</v>
      </c>
      <c r="I26" s="17">
        <f>факт2015!I12*'прогноз 2016 по факту'!I12%+факт2015!I12</f>
        <v>2760.4473081808042</v>
      </c>
      <c r="J26" s="17">
        <f>факт2015!J12*'прогноз 2016 по факту'!J12%+факт2015!J12</f>
        <v>2931.4145940213416</v>
      </c>
      <c r="K26" s="17">
        <f>факт2015!K12*'прогноз 2016 по факту'!K12%+факт2015!K12</f>
        <v>2138.4424884718533</v>
      </c>
      <c r="L26" s="17">
        <f>факт2015!L12*'прогноз 2016 по факту'!L12%+факт2015!L12</f>
        <v>2520.6148721410764</v>
      </c>
      <c r="M26" s="17">
        <f>факт2015!M12*'прогноз 2016 по факту'!M12%+факт2015!M12</f>
        <v>2721.2787097411674</v>
      </c>
      <c r="N26" s="17">
        <f>факт2015!N12*'прогноз 2016 по факту'!N12%+факт2015!N12</f>
        <v>2893.039788444572</v>
      </c>
      <c r="O26" s="17">
        <f>факт2015!O12*'прогноз 2016 по факту'!O12%+факт2015!O12</f>
        <v>2184.3433078516828</v>
      </c>
      <c r="P26" s="17">
        <f>факт2015!P12*'прогноз 2016 по факту'!P12%+факт2015!P12</f>
        <v>2566.1575153906379</v>
      </c>
      <c r="Q26" s="17">
        <f>факт2015!Q12*'прогноз 2016 по факту'!Q12%+факт2015!Q12</f>
        <v>2766.6709485614056</v>
      </c>
      <c r="R26" s="17">
        <f>факт2015!R12*'прогноз 2016 по факту'!R12%+факт2015!R12</f>
        <v>2938.3190054465231</v>
      </c>
      <c r="S26" s="17">
        <f>факт2015!S12*'прогноз 2016 по факту'!S12%+факт2015!S12</f>
        <v>2531.7634215589392</v>
      </c>
      <c r="T26" s="17">
        <f>факт2015!T12*'прогноз 2016 по факту'!T12%+факт2015!T12</f>
        <v>2913.1851521943431</v>
      </c>
      <c r="U26" s="17">
        <f>факт2015!U12*'прогноз 2016 по факту'!U12%+факт2015!U12</f>
        <v>3113.5230245352745</v>
      </c>
      <c r="V26" s="17">
        <f>факт2015!V12*'прогноз 2016 по факту'!V12%+факт2015!V12</f>
        <v>3285.0346867885651</v>
      </c>
      <c r="W26" s="17">
        <f>факт2015!W12*'прогноз 2016 по факту'!W12%+факт2015!W12</f>
        <v>2155.6864013154436</v>
      </c>
      <c r="X26" s="17">
        <f>факт2015!X12*'прогноз 2016 по факту'!X12%+факт2015!X12</f>
        <v>2531.2710329848642</v>
      </c>
      <c r="Y26" s="17">
        <f>факт2015!Y12*'прогноз 2016 по факту'!Y12%+факт2015!Y12</f>
        <v>2729.0533391219838</v>
      </c>
      <c r="Z26" s="17">
        <f>факт2015!Z12*'прогноз 2016 по факту'!Z12%+факт2015!Z12</f>
        <v>2898.5994550175969</v>
      </c>
    </row>
    <row r="27" spans="1:26" ht="24">
      <c r="A27" s="14" t="s">
        <v>9</v>
      </c>
      <c r="B27" s="15" t="s">
        <v>7</v>
      </c>
      <c r="C27" s="17">
        <f>факт2015!C13*'прогноз 2016 по факту'!C13%+факт2015!C13</f>
        <v>2392.7453175353517</v>
      </c>
      <c r="D27" s="17">
        <f>факт2015!D13*'прогноз 2016 по факту'!D13%+факт2015!D13</f>
        <v>2744.1917971108887</v>
      </c>
      <c r="E27" s="17">
        <f>факт2015!E13*'прогноз 2016 по факту'!E13%+факт2015!E13</f>
        <v>2933.5309269875979</v>
      </c>
      <c r="F27" s="17">
        <f>факт2015!F13*'прогноз 2016 по факту'!F13%+факт2015!F13</f>
        <v>3097.2933865659556</v>
      </c>
      <c r="G27" s="17">
        <f>факт2015!G13*'прогноз 2016 по факту'!G13%+факт2015!G13</f>
        <v>2224.4013934233985</v>
      </c>
      <c r="H27" s="17">
        <f>факт2015!H13*'прогноз 2016 по факту'!H13%+факт2015!H13</f>
        <v>2601.3485928767727</v>
      </c>
      <c r="I27" s="17">
        <f>факт2015!I13*'прогноз 2016 по факту'!I13%+факт2015!I13</f>
        <v>2799.9551226072695</v>
      </c>
      <c r="J27" s="17">
        <f>факт2015!J13*'прогноз 2016 по факту'!J13%+факт2015!J13</f>
        <v>2970.2165089422851</v>
      </c>
      <c r="K27" s="17">
        <f>факт2015!K13*'прогноз 2016 по факту'!K13%+факт2015!K13</f>
        <v>2184.2485653652548</v>
      </c>
      <c r="L27" s="17">
        <f>факт2015!L13*'прогноз 2016 по факту'!L13%+факт2015!L13</f>
        <v>2566.1654487745172</v>
      </c>
      <c r="M27" s="17">
        <f>факт2015!M13*'прогноз 2016 по факту'!M13%+факт2015!M13</f>
        <v>2766.7244416675003</v>
      </c>
      <c r="N27" s="17">
        <f>факт2015!N13*'прогноз 2016 по факту'!N13%+факт2015!N13</f>
        <v>2938.407335395319</v>
      </c>
      <c r="O27" s="17">
        <f>факт2015!O13*'прогноз 2016 по факту'!O13%+факт2015!O13</f>
        <v>2232.4419097070263</v>
      </c>
      <c r="P27" s="17">
        <f>факт2015!P13*'прогноз 2016 по факту'!P13%+факт2015!P13</f>
        <v>2614.6262240852107</v>
      </c>
      <c r="Q27" s="17">
        <f>факт2015!Q13*'прогноз 2016 по факту'!Q13%+факт2015!Q13</f>
        <v>2815.2949356557065</v>
      </c>
      <c r="R27" s="17">
        <f>факт2015!R13*'прогноз 2016 по факту'!R13%+факт2015!R13</f>
        <v>2987.0595864426396</v>
      </c>
      <c r="S27" s="17">
        <f>факт2015!S13*'прогноз 2016 по факту'!S13%+факт2015!S13</f>
        <v>2589.6819924208648</v>
      </c>
      <c r="T27" s="17">
        <f>факт2015!T13*'прогноз 2016 по факту'!T13%+факт2015!T13</f>
        <v>2971.8178865730561</v>
      </c>
      <c r="U27" s="17">
        <f>факт2015!U13*'прогноз 2016 по факту'!U13%+факт2015!U13</f>
        <v>3172.4658594688176</v>
      </c>
      <c r="V27" s="17">
        <f>факт2015!V13*'прогноз 2016 по факту'!V13%+факт2015!V13</f>
        <v>3344.2148221112157</v>
      </c>
      <c r="W27" s="17">
        <f>факт2015!W13*'прогноз 2016 по факту'!W13%+факт2015!W13</f>
        <v>2206.5845727149249</v>
      </c>
      <c r="X27" s="17">
        <f>факт2015!X13*'прогноз 2016 по факту'!X13%+факт2015!X13</f>
        <v>2584.913074740206</v>
      </c>
      <c r="Y27" s="17">
        <f>факт2015!Y13*'прогноз 2016 по факту'!Y13%+факт2015!Y13</f>
        <v>2783.9102547278403</v>
      </c>
      <c r="Z27" s="17">
        <f>факт2015!Z13*'прогноз 2016 по факту'!Z13%+факт2015!Z13</f>
        <v>2954.39637371238</v>
      </c>
    </row>
    <row r="28" spans="1:26" ht="24">
      <c r="A28" s="14" t="s">
        <v>10</v>
      </c>
      <c r="B28" s="15" t="s">
        <v>7</v>
      </c>
      <c r="C28" s="17">
        <f>факт2015!C14*'прогноз 2016 по факту'!C14%+факт2015!C14</f>
        <v>2426.7103767957678</v>
      </c>
      <c r="D28" s="17">
        <f>факт2015!D14*'прогноз 2016 по факту'!D14%+факт2015!D14</f>
        <v>2771.8102511955035</v>
      </c>
      <c r="E28" s="17">
        <f>факт2015!E14*'прогноз 2016 по факту'!E14%+факт2015!E14</f>
        <v>2958.9546223004877</v>
      </c>
      <c r="F28" s="17">
        <f>факт2015!F14*'прогноз 2016 по факту'!F14%+факт2015!F14</f>
        <v>3121.2133832908571</v>
      </c>
      <c r="G28" s="17">
        <f>факт2015!G14*'прогноз 2016 по факту'!G14%+факт2015!G14</f>
        <v>2262.4792033440076</v>
      </c>
      <c r="H28" s="17">
        <f>факт2015!H14*'прогноз 2016 по факту'!H14%+факт2015!H14</f>
        <v>2636.5904912771935</v>
      </c>
      <c r="I28" s="17">
        <f>факт2015!I14*'прогноз 2016 по факту'!I14%+факт2015!I14</f>
        <v>2834.1116166752122</v>
      </c>
      <c r="J28" s="17">
        <f>факт2015!J14*'прогноз 2016 по факту'!J14%+факт2015!J14</f>
        <v>3003.5929867160089</v>
      </c>
      <c r="K28" s="17">
        <f>факт2015!K14*'прогноз 2016 по факту'!K14%+факт2015!K14</f>
        <v>2225.0314436684048</v>
      </c>
      <c r="L28" s="17">
        <f>факт2015!L14*'прогноз 2016 по факту'!L14%+факт2015!L14</f>
        <v>2606.0774743910702</v>
      </c>
      <c r="M28" s="17">
        <f>факт2015!M14*'прогноз 2016 по факту'!M14%+факт2015!M14</f>
        <v>2806.2838647605295</v>
      </c>
      <c r="N28" s="17">
        <f>факт2015!N14*'прогноз 2016 по факту'!N14%+факт2015!N14</f>
        <v>2977.7061075037918</v>
      </c>
      <c r="O28" s="17">
        <f>факт2015!O14*'прогноз 2016 по факту'!O14%+факт2015!O14</f>
        <v>2275.34887435169</v>
      </c>
      <c r="P28" s="17">
        <f>факт2015!P14*'прогноз 2016 по факту'!P14%+факт2015!P14</f>
        <v>2657.2048661585313</v>
      </c>
      <c r="Q28" s="17">
        <f>факт2015!Q14*'прогноз 2016 по факту'!Q14%+факт2015!Q14</f>
        <v>2857.7378737041486</v>
      </c>
      <c r="R28" s="17">
        <f>факт2015!R14*'прогноз 2016 по факту'!R14%+факт2015!R14</f>
        <v>3029.4010424611874</v>
      </c>
      <c r="S28" s="17">
        <f>факт2015!S14*'прогноз 2016 по факту'!S14%+факт2015!S14</f>
        <v>2641.592995964726</v>
      </c>
      <c r="T28" s="17">
        <f>факт2015!T14*'прогноз 2016 по факту'!T14%+факт2015!T14</f>
        <v>3023.6531552120932</v>
      </c>
      <c r="U28" s="17">
        <f>факт2015!U14*'прогноз 2016 по факту'!U14%+факт2015!U14</f>
        <v>3224.268673943649</v>
      </c>
      <c r="V28" s="17">
        <f>факт2015!V14*'прогноз 2016 по факту'!V14%+факт2015!V14</f>
        <v>3395.9927593108187</v>
      </c>
      <c r="W28" s="17">
        <f>факт2015!W14*'прогноз 2016 по факту'!W14%+факт2015!W14</f>
        <v>2252.1350407584432</v>
      </c>
      <c r="X28" s="17">
        <f>факт2015!X14*'прогноз 2016 по факту'!X14%+факт2015!X14</f>
        <v>2632.2715002960936</v>
      </c>
      <c r="Y28" s="17">
        <f>факт2015!Y14*'прогноз 2016 по факту'!Y14%+факт2015!Y14</f>
        <v>2832.0593942277474</v>
      </c>
      <c r="Z28" s="17">
        <f>факт2015!Z14*'прогноз 2016 по факту'!Z14%+факт2015!Z14</f>
        <v>3003.1532664993092</v>
      </c>
    </row>
    <row r="30" spans="1:26" ht="18.75">
      <c r="A30" s="18"/>
    </row>
    <row r="33" spans="1:1">
      <c r="A33" s="10" t="s">
        <v>30</v>
      </c>
    </row>
  </sheetData>
  <mergeCells count="30">
    <mergeCell ref="A2:Z2"/>
    <mergeCell ref="A3:B4"/>
    <mergeCell ref="C3:F3"/>
    <mergeCell ref="G3:J3"/>
    <mergeCell ref="K3:N3"/>
    <mergeCell ref="O3:R3"/>
    <mergeCell ref="S3:V3"/>
    <mergeCell ref="W3:Z3"/>
    <mergeCell ref="W9:Z9"/>
    <mergeCell ref="A16:Z16"/>
    <mergeCell ref="A17:B18"/>
    <mergeCell ref="C17:F17"/>
    <mergeCell ref="G17:J17"/>
    <mergeCell ref="K17:N17"/>
    <mergeCell ref="O17:R17"/>
    <mergeCell ref="S17:V17"/>
    <mergeCell ref="W17:Z17"/>
    <mergeCell ref="A9:B10"/>
    <mergeCell ref="C9:F9"/>
    <mergeCell ref="G9:J9"/>
    <mergeCell ref="K9:N9"/>
    <mergeCell ref="O9:R9"/>
    <mergeCell ref="S9:V9"/>
    <mergeCell ref="W23:Z23"/>
    <mergeCell ref="A23:B24"/>
    <mergeCell ref="C23:F23"/>
    <mergeCell ref="G23:J23"/>
    <mergeCell ref="K23:N23"/>
    <mergeCell ref="O23:R23"/>
    <mergeCell ref="S23:V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opLeftCell="L1" zoomScale="80" zoomScaleNormal="80" workbookViewId="0">
      <selection activeCell="C9" sqref="C9:Z10"/>
    </sheetView>
  </sheetViews>
  <sheetFormatPr defaultRowHeight="12"/>
  <cols>
    <col min="1" max="1" width="11.140625" style="10" customWidth="1"/>
    <col min="2" max="2" width="10.42578125" style="10" customWidth="1"/>
    <col min="3" max="26" width="11" style="10" bestFit="1" customWidth="1"/>
    <col min="27" max="16384" width="9.140625" style="10"/>
  </cols>
  <sheetData>
    <row r="1" spans="1:26" ht="41.25" customHeight="1">
      <c r="A1" s="30" t="s">
        <v>36</v>
      </c>
    </row>
    <row r="2" spans="1:26" ht="24.75" customHeight="1">
      <c r="A2" s="773" t="s">
        <v>276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</row>
    <row r="3" spans="1:26" ht="15" customHeight="1">
      <c r="A3" s="788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790"/>
    </row>
    <row r="4" spans="1:26">
      <c r="A4" s="791"/>
      <c r="B4" s="792"/>
      <c r="C4" s="11" t="s">
        <v>2</v>
      </c>
      <c r="D4" s="11" t="s">
        <v>3</v>
      </c>
      <c r="E4" s="11" t="s">
        <v>4</v>
      </c>
      <c r="F4" s="11" t="s">
        <v>5</v>
      </c>
      <c r="G4" s="11" t="s">
        <v>2</v>
      </c>
      <c r="H4" s="11" t="s">
        <v>3</v>
      </c>
      <c r="I4" s="11" t="s">
        <v>4</v>
      </c>
      <c r="J4" s="11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13" t="s">
        <v>5</v>
      </c>
    </row>
    <row r="5" spans="1:26" ht="24">
      <c r="A5" s="14" t="s">
        <v>6</v>
      </c>
      <c r="B5" s="15" t="s">
        <v>7</v>
      </c>
      <c r="C5" s="17">
        <v>2212.6755519999997</v>
      </c>
      <c r="D5" s="17">
        <v>2517.2274639999996</v>
      </c>
      <c r="E5" s="17">
        <v>2677.143016</v>
      </c>
      <c r="F5" s="17">
        <v>2814.0343679999996</v>
      </c>
      <c r="G5" s="17">
        <v>2779.1596399999999</v>
      </c>
      <c r="H5" s="17">
        <v>3083.7115520000002</v>
      </c>
      <c r="I5" s="17">
        <v>3243.6271040000001</v>
      </c>
      <c r="J5" s="17">
        <v>3380.5184559999998</v>
      </c>
      <c r="K5" s="17">
        <v>2392.7525359999995</v>
      </c>
      <c r="L5" s="17">
        <v>2697.3044479999999</v>
      </c>
      <c r="M5" s="17">
        <v>2857.22</v>
      </c>
      <c r="N5" s="17">
        <v>2994.1113520000004</v>
      </c>
      <c r="O5" s="17">
        <v>2388.2253679999999</v>
      </c>
      <c r="P5" s="17">
        <v>2692.7772799999998</v>
      </c>
      <c r="Q5" s="17">
        <v>2852.6928319999997</v>
      </c>
      <c r="R5" s="17">
        <v>2989.5841839999998</v>
      </c>
      <c r="S5" s="17">
        <v>1982.999448</v>
      </c>
      <c r="T5" s="17">
        <v>2287.5513600000004</v>
      </c>
      <c r="U5" s="17">
        <v>2447.4669120000003</v>
      </c>
      <c r="V5" s="17">
        <v>2584.358264</v>
      </c>
      <c r="W5" s="17">
        <v>1556.93524</v>
      </c>
      <c r="X5" s="17">
        <v>1861.4871519999999</v>
      </c>
      <c r="Y5" s="17">
        <v>2021.4027039999999</v>
      </c>
      <c r="Z5" s="17">
        <v>2158.2940559999997</v>
      </c>
    </row>
    <row r="6" spans="1:26" ht="24">
      <c r="A6" s="14" t="s">
        <v>8</v>
      </c>
      <c r="B6" s="15" t="s">
        <v>7</v>
      </c>
      <c r="C6" s="17">
        <v>2194.4670160000001</v>
      </c>
      <c r="D6" s="17">
        <v>2499.0189279999995</v>
      </c>
      <c r="E6" s="17">
        <v>2658.9344799999999</v>
      </c>
      <c r="F6" s="17">
        <v>2795.825832</v>
      </c>
      <c r="G6" s="17">
        <v>2755.458584</v>
      </c>
      <c r="H6" s="17">
        <v>3060.0104959999999</v>
      </c>
      <c r="I6" s="17">
        <v>3219.9260479999998</v>
      </c>
      <c r="J6" s="17">
        <v>3356.8173999999999</v>
      </c>
      <c r="K6" s="17">
        <v>2372.7908319999997</v>
      </c>
      <c r="L6" s="17">
        <v>2677.3427439999996</v>
      </c>
      <c r="M6" s="17">
        <v>2837.2582959999995</v>
      </c>
      <c r="N6" s="17">
        <v>2974.1496480000001</v>
      </c>
      <c r="O6" s="17">
        <v>2368.2969519999997</v>
      </c>
      <c r="P6" s="17">
        <v>2672.848864</v>
      </c>
      <c r="Q6" s="17">
        <v>2832.764416</v>
      </c>
      <c r="R6" s="17">
        <v>2969.6557679999996</v>
      </c>
      <c r="S6" s="17">
        <v>1967.0101119999999</v>
      </c>
      <c r="T6" s="17">
        <v>2271.5620239999998</v>
      </c>
      <c r="U6" s="17">
        <v>2431.4775759999998</v>
      </c>
      <c r="V6" s="17">
        <v>2568.3689279999994</v>
      </c>
      <c r="W6" s="17">
        <v>1545.0847119999999</v>
      </c>
      <c r="X6" s="17">
        <v>1849.6366240000002</v>
      </c>
      <c r="Y6" s="17">
        <v>2009.5521760000001</v>
      </c>
      <c r="Z6" s="17">
        <v>2146.4435279999998</v>
      </c>
    </row>
    <row r="7" spans="1:26" ht="24">
      <c r="A7" s="14" t="s">
        <v>9</v>
      </c>
      <c r="B7" s="15" t="s">
        <v>7</v>
      </c>
      <c r="C7" s="17">
        <v>2086.2477279999998</v>
      </c>
      <c r="D7" s="17">
        <v>2390.7996399999993</v>
      </c>
      <c r="E7" s="17">
        <v>2550.7151919999997</v>
      </c>
      <c r="F7" s="17">
        <v>2687.6065439999998</v>
      </c>
      <c r="G7" s="17">
        <v>2614.6170559999996</v>
      </c>
      <c r="H7" s="17">
        <v>2919.1689680000004</v>
      </c>
      <c r="I7" s="17">
        <v>3079.0845199999999</v>
      </c>
      <c r="J7" s="17">
        <v>3215.975872</v>
      </c>
      <c r="K7" s="17">
        <v>2254.1967839999998</v>
      </c>
      <c r="L7" s="17">
        <v>2558.7486960000001</v>
      </c>
      <c r="M7" s="17">
        <v>2718.664248</v>
      </c>
      <c r="N7" s="17">
        <v>2855.5556000000001</v>
      </c>
      <c r="O7" s="17">
        <v>2249.9359199999994</v>
      </c>
      <c r="P7" s="17">
        <v>2554.4878319999998</v>
      </c>
      <c r="Q7" s="17">
        <v>2714.4033839999997</v>
      </c>
      <c r="R7" s="17">
        <v>2851.2947359999998</v>
      </c>
      <c r="S7" s="17">
        <v>1871.995064</v>
      </c>
      <c r="T7" s="17">
        <v>2176.5469760000001</v>
      </c>
      <c r="U7" s="17">
        <v>2336.462528</v>
      </c>
      <c r="V7" s="17">
        <v>2473.3538800000001</v>
      </c>
      <c r="W7" s="17">
        <v>1474.6694960000002</v>
      </c>
      <c r="X7" s="17">
        <v>1779.2214080000001</v>
      </c>
      <c r="Y7" s="17">
        <v>1939.13696</v>
      </c>
      <c r="Z7" s="17">
        <v>2076.0283119999999</v>
      </c>
    </row>
    <row r="8" spans="1:26" ht="24">
      <c r="A8" s="14" t="s">
        <v>10</v>
      </c>
      <c r="B8" s="15" t="s">
        <v>7</v>
      </c>
      <c r="C8" s="17">
        <v>1998.9111119999998</v>
      </c>
      <c r="D8" s="17">
        <v>2303.4630239999992</v>
      </c>
      <c r="E8" s="17">
        <v>2463.3785759999996</v>
      </c>
      <c r="F8" s="17">
        <v>2600.2699279999997</v>
      </c>
      <c r="G8" s="17">
        <v>2500.9385359999997</v>
      </c>
      <c r="H8" s="17">
        <v>2805.490448</v>
      </c>
      <c r="I8" s="17">
        <v>2965.4059999999999</v>
      </c>
      <c r="J8" s="17">
        <v>3102.2973519999996</v>
      </c>
      <c r="K8" s="17">
        <v>2158.4715919999999</v>
      </c>
      <c r="L8" s="17">
        <v>2463.0235040000002</v>
      </c>
      <c r="M8" s="17">
        <v>2622.9390560000002</v>
      </c>
      <c r="N8" s="17">
        <v>2759.8304080000003</v>
      </c>
      <c r="O8" s="17">
        <v>2154.3993599999999</v>
      </c>
      <c r="P8" s="17">
        <v>2458.9512719999998</v>
      </c>
      <c r="Q8" s="17">
        <v>2618.8668239999997</v>
      </c>
      <c r="R8" s="17">
        <v>2755.7581759999998</v>
      </c>
      <c r="S8" s="17">
        <v>1795.3106079999995</v>
      </c>
      <c r="T8" s="17">
        <v>2099.8625199999997</v>
      </c>
      <c r="U8" s="17">
        <v>2259.7780719999996</v>
      </c>
      <c r="V8" s="17">
        <v>2396.6694239999997</v>
      </c>
      <c r="W8" s="17">
        <v>1417.8246879999999</v>
      </c>
      <c r="X8" s="17">
        <v>1722.3766000000001</v>
      </c>
      <c r="Y8" s="17">
        <v>1882.292152</v>
      </c>
      <c r="Z8" s="17">
        <v>2019.1835039999999</v>
      </c>
    </row>
    <row r="9" spans="1:26" ht="15" customHeight="1">
      <c r="A9" s="788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3" t="s">
        <v>21</v>
      </c>
      <c r="T9" s="793"/>
      <c r="U9" s="793"/>
      <c r="V9" s="793"/>
      <c r="W9" s="793" t="s">
        <v>22</v>
      </c>
      <c r="X9" s="793"/>
      <c r="Y9" s="793"/>
      <c r="Z9" s="793"/>
    </row>
    <row r="10" spans="1:26">
      <c r="A10" s="791"/>
      <c r="B10" s="792"/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2</v>
      </c>
      <c r="H10" s="11" t="s">
        <v>3</v>
      </c>
      <c r="I10" s="11" t="s">
        <v>4</v>
      </c>
      <c r="J10" s="11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13" t="s">
        <v>5</v>
      </c>
    </row>
    <row r="11" spans="1:26" ht="24">
      <c r="A11" s="14" t="s">
        <v>6</v>
      </c>
      <c r="B11" s="15" t="s">
        <v>7</v>
      </c>
      <c r="C11" s="17">
        <v>1729.4114639999998</v>
      </c>
      <c r="D11" s="17">
        <v>2088.788712</v>
      </c>
      <c r="E11" s="17">
        <v>2277.4872880000003</v>
      </c>
      <c r="F11" s="17">
        <v>2439.0117599999999</v>
      </c>
      <c r="G11" s="17">
        <v>1880.9384399999999</v>
      </c>
      <c r="H11" s="17">
        <v>2240.3156880000001</v>
      </c>
      <c r="I11" s="17">
        <v>2429.0142639999999</v>
      </c>
      <c r="J11" s="17">
        <v>2590.538736</v>
      </c>
      <c r="K11" s="17">
        <v>2027.8938640000001</v>
      </c>
      <c r="L11" s="17">
        <v>2387.2711119999994</v>
      </c>
      <c r="M11" s="17">
        <v>2575.9696879999997</v>
      </c>
      <c r="N11" s="17">
        <v>2737.4941599999997</v>
      </c>
      <c r="O11" s="17">
        <v>2130.2433679999999</v>
      </c>
      <c r="P11" s="17">
        <v>2489.6206159999997</v>
      </c>
      <c r="Q11" s="17">
        <v>2678.3191919999999</v>
      </c>
      <c r="R11" s="17">
        <v>2839.8436639999995</v>
      </c>
      <c r="S11" s="17">
        <v>2505.6876239999997</v>
      </c>
      <c r="T11" s="17">
        <v>2865.0648719999999</v>
      </c>
      <c r="U11" s="17">
        <v>3053.7634479999997</v>
      </c>
      <c r="V11" s="17">
        <v>3215.2879199999998</v>
      </c>
      <c r="W11" s="17">
        <v>2361.8945599999997</v>
      </c>
      <c r="X11" s="17">
        <v>2721.271808</v>
      </c>
      <c r="Y11" s="17">
        <v>2909.9703839999997</v>
      </c>
      <c r="Z11" s="17">
        <v>3071.4948559999998</v>
      </c>
    </row>
    <row r="12" spans="1:26" ht="24">
      <c r="A12" s="14" t="s">
        <v>8</v>
      </c>
      <c r="B12" s="15" t="s">
        <v>7</v>
      </c>
      <c r="C12" s="17">
        <v>1725.672112</v>
      </c>
      <c r="D12" s="17">
        <v>2085.04936</v>
      </c>
      <c r="E12" s="17">
        <v>2273.7479360000002</v>
      </c>
      <c r="F12" s="17">
        <v>2435.2724079999998</v>
      </c>
      <c r="G12" s="17">
        <v>1876.7774400000001</v>
      </c>
      <c r="H12" s="17">
        <v>2236.1546880000001</v>
      </c>
      <c r="I12" s="17">
        <v>2424.8532639999999</v>
      </c>
      <c r="J12" s="17">
        <v>2586.3777360000004</v>
      </c>
      <c r="K12" s="17">
        <v>2023.3223119999998</v>
      </c>
      <c r="L12" s="17">
        <v>2382.6995599999996</v>
      </c>
      <c r="M12" s="17">
        <v>2571.3981359999998</v>
      </c>
      <c r="N12" s="17">
        <v>2732.9226079999999</v>
      </c>
      <c r="O12" s="17">
        <v>2125.3722239999997</v>
      </c>
      <c r="P12" s="17">
        <v>2484.7494719999995</v>
      </c>
      <c r="Q12" s="17">
        <v>2673.4480479999993</v>
      </c>
      <c r="R12" s="17">
        <v>2834.9725199999989</v>
      </c>
      <c r="S12" s="17">
        <v>2499.7734559999999</v>
      </c>
      <c r="T12" s="17">
        <v>2859.1507039999997</v>
      </c>
      <c r="U12" s="17">
        <v>3047.8492799999999</v>
      </c>
      <c r="V12" s="17">
        <v>3209.3737519999995</v>
      </c>
      <c r="W12" s="17">
        <v>2356.3909439999998</v>
      </c>
      <c r="X12" s="17">
        <v>2715.768192</v>
      </c>
      <c r="Y12" s="17">
        <v>2904.4667679999998</v>
      </c>
      <c r="Z12" s="17">
        <v>3065.9912399999998</v>
      </c>
    </row>
    <row r="13" spans="1:26" ht="24">
      <c r="A13" s="14" t="s">
        <v>9</v>
      </c>
      <c r="B13" s="15" t="s">
        <v>7</v>
      </c>
      <c r="C13" s="17">
        <v>1703.635456</v>
      </c>
      <c r="D13" s="17">
        <v>2063.0127039999998</v>
      </c>
      <c r="E13" s="17">
        <v>2251.71128</v>
      </c>
      <c r="F13" s="17">
        <v>2413.2357519999996</v>
      </c>
      <c r="G13" s="17">
        <v>1852.2441840000001</v>
      </c>
      <c r="H13" s="17">
        <v>2211.6214320000004</v>
      </c>
      <c r="I13" s="17">
        <v>2400.3200079999997</v>
      </c>
      <c r="J13" s="17">
        <v>2561.8444800000002</v>
      </c>
      <c r="K13" s="17">
        <v>1996.3590319999998</v>
      </c>
      <c r="L13" s="17">
        <v>2355.7362800000001</v>
      </c>
      <c r="M13" s="17">
        <v>2544.4348559999999</v>
      </c>
      <c r="N13" s="17">
        <v>2705.9593279999999</v>
      </c>
      <c r="O13" s="17">
        <v>2096.733448</v>
      </c>
      <c r="P13" s="17">
        <v>2456.1106959999997</v>
      </c>
      <c r="Q13" s="17">
        <v>2644.8092719999995</v>
      </c>
      <c r="R13" s="17">
        <v>2806.3337439999991</v>
      </c>
      <c r="S13" s="17">
        <v>2464.9542079999997</v>
      </c>
      <c r="T13" s="17">
        <v>2824.3314559999999</v>
      </c>
      <c r="U13" s="17">
        <v>3013.0300319999997</v>
      </c>
      <c r="V13" s="17">
        <v>3174.5545039999997</v>
      </c>
      <c r="W13" s="17">
        <v>2323.9351439999996</v>
      </c>
      <c r="X13" s="17">
        <v>2683.3123919999998</v>
      </c>
      <c r="Y13" s="17">
        <v>2872.0109679999996</v>
      </c>
      <c r="Z13" s="17">
        <v>3033.5354400000001</v>
      </c>
    </row>
    <row r="14" spans="1:26" ht="24">
      <c r="A14" s="14" t="s">
        <v>10</v>
      </c>
      <c r="B14" s="15" t="s">
        <v>7</v>
      </c>
      <c r="C14" s="17">
        <v>1685.7930880000001</v>
      </c>
      <c r="D14" s="17">
        <v>2045.1703359999999</v>
      </c>
      <c r="E14" s="17">
        <v>2233.8689119999999</v>
      </c>
      <c r="F14" s="17">
        <v>2395.393384</v>
      </c>
      <c r="G14" s="17">
        <v>1832.3712479999999</v>
      </c>
      <c r="H14" s="17">
        <v>2191.7484960000002</v>
      </c>
      <c r="I14" s="17">
        <v>2380.4470719999999</v>
      </c>
      <c r="J14" s="17">
        <v>2541.971544</v>
      </c>
      <c r="K14" s="17">
        <v>1974.5331999999999</v>
      </c>
      <c r="L14" s="17">
        <v>2333.9104480000001</v>
      </c>
      <c r="M14" s="17">
        <v>2522.6090239999999</v>
      </c>
      <c r="N14" s="17">
        <v>2684.1334959999999</v>
      </c>
      <c r="O14" s="17">
        <v>2073.531712</v>
      </c>
      <c r="P14" s="17">
        <v>2432.9089599999998</v>
      </c>
      <c r="Q14" s="17">
        <v>2621.6075359999995</v>
      </c>
      <c r="R14" s="17">
        <v>2783.1320079999991</v>
      </c>
      <c r="S14" s="17">
        <v>2436.7592719999998</v>
      </c>
      <c r="T14" s="17">
        <v>2796.1365199999996</v>
      </c>
      <c r="U14" s="17">
        <v>2984.8350960000002</v>
      </c>
      <c r="V14" s="17">
        <v>3146.3595679999999</v>
      </c>
      <c r="W14" s="17">
        <v>2297.6598159999999</v>
      </c>
      <c r="X14" s="17">
        <v>2657.0370640000001</v>
      </c>
      <c r="Y14" s="17">
        <v>2845.7356399999999</v>
      </c>
      <c r="Z14" s="17">
        <v>3007.2601119999995</v>
      </c>
    </row>
    <row r="16" spans="1:26" ht="18.75">
      <c r="A16" s="18"/>
    </row>
    <row r="19" spans="1:10">
      <c r="A19" s="10" t="s">
        <v>30</v>
      </c>
    </row>
    <row r="20" spans="1:10" hidden="1"/>
    <row r="21" spans="1:10" hidden="1">
      <c r="C21" s="10">
        <v>2258.2599999999998</v>
      </c>
      <c r="D21" s="10">
        <v>2582.14</v>
      </c>
      <c r="E21" s="10">
        <v>2752.2</v>
      </c>
      <c r="F21" s="10">
        <v>2897.77</v>
      </c>
      <c r="G21" s="10">
        <v>2358.27</v>
      </c>
      <c r="H21" s="10">
        <v>2682.15</v>
      </c>
      <c r="I21" s="10">
        <v>2852.21</v>
      </c>
      <c r="J21" s="10">
        <v>2997.78</v>
      </c>
    </row>
    <row r="22" spans="1:10" hidden="1">
      <c r="C22" s="10">
        <v>2252.9299999999998</v>
      </c>
      <c r="D22" s="10">
        <v>2576.81</v>
      </c>
      <c r="E22" s="10">
        <v>2746.87</v>
      </c>
      <c r="F22" s="10">
        <v>2892.44</v>
      </c>
      <c r="G22" s="10">
        <v>2352.66</v>
      </c>
      <c r="H22" s="10">
        <v>2676.5400000000004</v>
      </c>
      <c r="I22" s="10">
        <v>2846.6000000000004</v>
      </c>
      <c r="J22" s="10">
        <v>2992.1700000000005</v>
      </c>
    </row>
    <row r="23" spans="1:10" hidden="1">
      <c r="C23" s="10">
        <v>2221.54</v>
      </c>
      <c r="D23" s="10">
        <v>2545.42</v>
      </c>
      <c r="E23" s="10">
        <v>2715.48</v>
      </c>
      <c r="F23" s="10">
        <v>2861.05</v>
      </c>
      <c r="G23" s="10">
        <v>2319.62</v>
      </c>
      <c r="H23" s="10">
        <v>2643.5</v>
      </c>
      <c r="I23" s="10">
        <v>2813.56</v>
      </c>
      <c r="J23" s="10">
        <v>2959.13</v>
      </c>
    </row>
    <row r="24" spans="1:10" hidden="1">
      <c r="C24" s="10">
        <v>2196.12</v>
      </c>
      <c r="D24" s="10">
        <v>2520</v>
      </c>
      <c r="E24" s="10">
        <v>2690.06</v>
      </c>
      <c r="F24" s="10">
        <v>2835.63</v>
      </c>
      <c r="G24" s="10">
        <v>2292.87</v>
      </c>
      <c r="H24" s="10">
        <v>2616.75</v>
      </c>
      <c r="I24" s="10">
        <v>2786.81</v>
      </c>
      <c r="J24" s="10">
        <v>2932.38</v>
      </c>
    </row>
    <row r="25" spans="1:10" hidden="1">
      <c r="C25" s="652">
        <f>C21-C5</f>
        <v>45.584448000000066</v>
      </c>
      <c r="D25" s="652">
        <f t="shared" ref="D25:J25" si="0">D21-D5</f>
        <v>64.912536000000273</v>
      </c>
      <c r="E25" s="652">
        <f t="shared" si="0"/>
        <v>75.056983999999829</v>
      </c>
      <c r="F25" s="652">
        <f t="shared" si="0"/>
        <v>83.735632000000351</v>
      </c>
      <c r="G25" s="652">
        <f t="shared" si="0"/>
        <v>-420.88963999999987</v>
      </c>
      <c r="H25" s="652">
        <f t="shared" si="0"/>
        <v>-401.56155200000012</v>
      </c>
      <c r="I25" s="652">
        <f t="shared" si="0"/>
        <v>-391.41710400000011</v>
      </c>
      <c r="J25" s="652">
        <f t="shared" si="0"/>
        <v>-382.73845599999959</v>
      </c>
    </row>
    <row r="26" spans="1:10" hidden="1">
      <c r="C26" s="652">
        <f t="shared" ref="C26:J26" si="1">C22-C6</f>
        <v>58.462983999999778</v>
      </c>
      <c r="D26" s="652">
        <f t="shared" si="1"/>
        <v>77.79107200000044</v>
      </c>
      <c r="E26" s="652">
        <f t="shared" si="1"/>
        <v>87.935519999999997</v>
      </c>
      <c r="F26" s="652">
        <f t="shared" si="1"/>
        <v>96.614168000000063</v>
      </c>
      <c r="G26" s="652">
        <f t="shared" si="1"/>
        <v>-402.79858400000012</v>
      </c>
      <c r="H26" s="652">
        <f t="shared" si="1"/>
        <v>-383.47049599999946</v>
      </c>
      <c r="I26" s="652">
        <f t="shared" si="1"/>
        <v>-373.32604799999945</v>
      </c>
      <c r="J26" s="652">
        <f t="shared" si="1"/>
        <v>-364.64739999999938</v>
      </c>
    </row>
    <row r="27" spans="1:10" hidden="1">
      <c r="C27" s="652">
        <f t="shared" ref="C27:J27" si="2">C23-C7</f>
        <v>135.29227200000014</v>
      </c>
      <c r="D27" s="652">
        <f t="shared" si="2"/>
        <v>154.6203600000008</v>
      </c>
      <c r="E27" s="652">
        <f t="shared" si="2"/>
        <v>164.76480800000036</v>
      </c>
      <c r="F27" s="652">
        <f t="shared" si="2"/>
        <v>173.44345600000042</v>
      </c>
      <c r="G27" s="652">
        <f t="shared" si="2"/>
        <v>-294.9970559999997</v>
      </c>
      <c r="H27" s="652">
        <f t="shared" si="2"/>
        <v>-275.6689680000004</v>
      </c>
      <c r="I27" s="652">
        <f t="shared" si="2"/>
        <v>-265.52451999999994</v>
      </c>
      <c r="J27" s="652">
        <f t="shared" si="2"/>
        <v>-256.84587199999987</v>
      </c>
    </row>
    <row r="28" spans="1:10" hidden="1">
      <c r="C28" s="652">
        <f t="shared" ref="C28:J28" si="3">C24-C8</f>
        <v>197.20888800000012</v>
      </c>
      <c r="D28" s="652">
        <f t="shared" si="3"/>
        <v>216.53697600000078</v>
      </c>
      <c r="E28" s="652">
        <f t="shared" si="3"/>
        <v>226.68142400000033</v>
      </c>
      <c r="F28" s="652">
        <f>F24-F8</f>
        <v>235.3600720000004</v>
      </c>
      <c r="G28" s="652">
        <f t="shared" si="3"/>
        <v>-208.06853599999977</v>
      </c>
      <c r="H28" s="652">
        <f t="shared" si="3"/>
        <v>-188.74044800000001</v>
      </c>
      <c r="I28" s="652">
        <f t="shared" si="3"/>
        <v>-178.596</v>
      </c>
      <c r="J28" s="652">
        <f t="shared" si="3"/>
        <v>-169.91735199999948</v>
      </c>
    </row>
    <row r="29" spans="1:10" hidden="1"/>
    <row r="30" spans="1:10" hidden="1">
      <c r="C30" s="651">
        <f>C25/1000</f>
        <v>4.5584448000000069E-2</v>
      </c>
      <c r="D30" s="651">
        <f t="shared" ref="D30:J30" si="4">D25/1000</f>
        <v>6.491253600000027E-2</v>
      </c>
      <c r="E30" s="651">
        <f t="shared" si="4"/>
        <v>7.5056983999999827E-2</v>
      </c>
      <c r="F30" s="651">
        <f t="shared" si="4"/>
        <v>8.3735632000000351E-2</v>
      </c>
      <c r="G30" s="651">
        <f t="shared" si="4"/>
        <v>-0.4208896399999999</v>
      </c>
      <c r="H30" s="651">
        <f t="shared" si="4"/>
        <v>-0.4015615520000001</v>
      </c>
      <c r="I30" s="651">
        <f t="shared" si="4"/>
        <v>-0.39141710400000013</v>
      </c>
      <c r="J30" s="651">
        <f t="shared" si="4"/>
        <v>-0.38273845599999956</v>
      </c>
    </row>
    <row r="31" spans="1:10" hidden="1">
      <c r="C31" s="651">
        <f t="shared" ref="C31:J31" si="5">C26/1000</f>
        <v>5.8462983999999781E-2</v>
      </c>
      <c r="D31" s="651">
        <f t="shared" si="5"/>
        <v>7.7791072000000447E-2</v>
      </c>
      <c r="E31" s="651">
        <f t="shared" si="5"/>
        <v>8.7935520000000003E-2</v>
      </c>
      <c r="F31" s="651">
        <f t="shared" si="5"/>
        <v>9.661416800000007E-2</v>
      </c>
      <c r="G31" s="651">
        <f t="shared" si="5"/>
        <v>-0.40279858400000013</v>
      </c>
      <c r="H31" s="651">
        <f t="shared" si="5"/>
        <v>-0.38347049599999944</v>
      </c>
      <c r="I31" s="651">
        <f t="shared" si="5"/>
        <v>-0.37332604799999947</v>
      </c>
      <c r="J31" s="651">
        <f t="shared" si="5"/>
        <v>-0.3646473999999994</v>
      </c>
    </row>
    <row r="32" spans="1:10" hidden="1">
      <c r="C32" s="651">
        <f t="shared" ref="C32:J32" si="6">C27/1000</f>
        <v>0.13529227200000013</v>
      </c>
      <c r="D32" s="651">
        <f t="shared" si="6"/>
        <v>0.15462036000000079</v>
      </c>
      <c r="E32" s="651">
        <f t="shared" si="6"/>
        <v>0.16476480800000035</v>
      </c>
      <c r="F32" s="651">
        <f t="shared" si="6"/>
        <v>0.17344345600000041</v>
      </c>
      <c r="G32" s="651">
        <f t="shared" si="6"/>
        <v>-0.2949970559999997</v>
      </c>
      <c r="H32" s="651">
        <f t="shared" si="6"/>
        <v>-0.2756689680000004</v>
      </c>
      <c r="I32" s="651">
        <f t="shared" si="6"/>
        <v>-0.26552451999999993</v>
      </c>
      <c r="J32" s="651">
        <f t="shared" si="6"/>
        <v>-0.25684587199999986</v>
      </c>
    </row>
    <row r="33" spans="1:10" hidden="1">
      <c r="C33" s="651">
        <f t="shared" ref="C33:J33" si="7">C28/1000</f>
        <v>0.19720888800000011</v>
      </c>
      <c r="D33" s="651">
        <f t="shared" si="7"/>
        <v>0.21653697600000077</v>
      </c>
      <c r="E33" s="651">
        <f t="shared" si="7"/>
        <v>0.22668142400000033</v>
      </c>
      <c r="F33" s="651">
        <f>F28/1000</f>
        <v>0.23536007200000039</v>
      </c>
      <c r="G33" s="651">
        <f t="shared" si="7"/>
        <v>-0.20806853599999978</v>
      </c>
      <c r="H33" s="651">
        <f t="shared" si="7"/>
        <v>-0.18874044800000001</v>
      </c>
      <c r="I33" s="651">
        <f t="shared" si="7"/>
        <v>-0.178596</v>
      </c>
      <c r="J33" s="651">
        <f t="shared" si="7"/>
        <v>-0.16991735199999949</v>
      </c>
    </row>
    <row r="34" spans="1:10" hidden="1"/>
    <row r="35" spans="1:10" hidden="1"/>
    <row r="36" spans="1:10" hidden="1"/>
    <row r="37" spans="1:10" hidden="1"/>
    <row r="38" spans="1:10" hidden="1">
      <c r="A38" s="10" t="s">
        <v>279</v>
      </c>
    </row>
    <row r="39" spans="1:10" hidden="1">
      <c r="A39" s="10" t="s">
        <v>280</v>
      </c>
    </row>
  </sheetData>
  <mergeCells count="15">
    <mergeCell ref="A2:Z2"/>
    <mergeCell ref="A3:B4"/>
    <mergeCell ref="C3:F3"/>
    <mergeCell ref="G3:J3"/>
    <mergeCell ref="K3:N3"/>
    <mergeCell ref="O3:R3"/>
    <mergeCell ref="S3:V3"/>
    <mergeCell ref="W3:Z3"/>
    <mergeCell ref="W9:Z9"/>
    <mergeCell ref="A9:B10"/>
    <mergeCell ref="C9:F9"/>
    <mergeCell ref="G9:J9"/>
    <mergeCell ref="K9:N9"/>
    <mergeCell ref="O9:R9"/>
    <mergeCell ref="S9:V9"/>
  </mergeCell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4" workbookViewId="0">
      <selection activeCell="F13" sqref="F13:F14"/>
    </sheetView>
  </sheetViews>
  <sheetFormatPr defaultColWidth="130.7109375" defaultRowHeight="15"/>
  <cols>
    <col min="1" max="1" width="52.7109375" customWidth="1"/>
    <col min="2" max="2" width="14.42578125" customWidth="1"/>
    <col min="3" max="3" width="13.5703125" customWidth="1"/>
    <col min="4" max="5" width="14.28515625" customWidth="1"/>
    <col min="6" max="6" width="14.140625" customWidth="1"/>
  </cols>
  <sheetData>
    <row r="1" spans="1:6">
      <c r="A1" s="655"/>
      <c r="B1" s="655"/>
      <c r="C1" s="655"/>
      <c r="D1" s="655"/>
      <c r="E1" s="655"/>
      <c r="F1" s="655"/>
    </row>
    <row r="2" spans="1:6" ht="20.25">
      <c r="A2" s="808" t="s">
        <v>281</v>
      </c>
      <c r="B2" s="808"/>
      <c r="C2" s="808"/>
      <c r="D2" s="808"/>
      <c r="E2" s="808"/>
      <c r="F2" s="808"/>
    </row>
    <row r="3" spans="1:6" ht="21" thickBot="1">
      <c r="A3" s="809" t="s">
        <v>282</v>
      </c>
      <c r="B3" s="809"/>
      <c r="C3" s="809"/>
      <c r="D3" s="809"/>
      <c r="E3" s="809"/>
      <c r="F3" s="809"/>
    </row>
    <row r="4" spans="1:6" ht="17.25" thickBot="1">
      <c r="A4" s="810"/>
      <c r="B4" s="658">
        <v>2013</v>
      </c>
      <c r="C4" s="659">
        <v>2014</v>
      </c>
      <c r="D4" s="659">
        <v>2015</v>
      </c>
      <c r="E4" s="687">
        <v>2016</v>
      </c>
      <c r="F4" s="689">
        <v>2017</v>
      </c>
    </row>
    <row r="5" spans="1:6" ht="19.5" thickBot="1">
      <c r="A5" s="811"/>
      <c r="B5" s="688" t="s">
        <v>283</v>
      </c>
      <c r="C5" s="689" t="s">
        <v>284</v>
      </c>
      <c r="D5" s="812" t="s">
        <v>285</v>
      </c>
      <c r="E5" s="813"/>
      <c r="F5" s="814"/>
    </row>
    <row r="6" spans="1:6" ht="35.25">
      <c r="A6" s="660" t="s">
        <v>286</v>
      </c>
      <c r="B6" s="662">
        <v>115</v>
      </c>
      <c r="C6" s="663">
        <v>107.9</v>
      </c>
      <c r="D6" s="663">
        <v>103.8</v>
      </c>
      <c r="E6" s="661">
        <v>106.6</v>
      </c>
      <c r="F6" s="661">
        <v>104.6</v>
      </c>
    </row>
    <row r="7" spans="1:6" ht="33">
      <c r="A7" s="665" t="s">
        <v>287</v>
      </c>
      <c r="B7" s="667">
        <v>115</v>
      </c>
      <c r="C7" s="668">
        <v>107.6</v>
      </c>
      <c r="D7" s="668">
        <v>103.5</v>
      </c>
      <c r="E7" s="692">
        <v>106.6</v>
      </c>
      <c r="F7" s="666">
        <v>104.6</v>
      </c>
    </row>
    <row r="8" spans="1:6" ht="16.5">
      <c r="A8" s="669" t="s">
        <v>288</v>
      </c>
      <c r="B8" s="670" t="s">
        <v>289</v>
      </c>
      <c r="C8" s="670" t="s">
        <v>290</v>
      </c>
      <c r="D8" s="670" t="s">
        <v>291</v>
      </c>
      <c r="E8" s="693" t="s">
        <v>292</v>
      </c>
      <c r="F8" s="680" t="s">
        <v>293</v>
      </c>
    </row>
    <row r="9" spans="1:6" ht="16.5">
      <c r="A9" s="671" t="s">
        <v>294</v>
      </c>
      <c r="B9" s="667">
        <v>115</v>
      </c>
      <c r="C9" s="668">
        <v>110.2</v>
      </c>
      <c r="D9" s="668">
        <v>105.8</v>
      </c>
      <c r="E9" s="692">
        <v>106.6</v>
      </c>
      <c r="F9" s="666">
        <v>105</v>
      </c>
    </row>
    <row r="10" spans="1:6" ht="17.25" thickBot="1">
      <c r="A10" s="672" t="s">
        <v>288</v>
      </c>
      <c r="B10" s="673" t="s">
        <v>289</v>
      </c>
      <c r="C10" s="673" t="s">
        <v>295</v>
      </c>
      <c r="D10" s="673" t="s">
        <v>291</v>
      </c>
      <c r="E10" s="674" t="s">
        <v>292</v>
      </c>
      <c r="F10" s="681" t="s">
        <v>296</v>
      </c>
    </row>
    <row r="11" spans="1:6">
      <c r="A11" s="817" t="s">
        <v>297</v>
      </c>
      <c r="B11" s="819" t="s">
        <v>298</v>
      </c>
      <c r="C11" s="819" t="s">
        <v>299</v>
      </c>
      <c r="D11" s="819" t="s">
        <v>300</v>
      </c>
      <c r="E11" s="815" t="s">
        <v>301</v>
      </c>
      <c r="F11" s="815" t="s">
        <v>302</v>
      </c>
    </row>
    <row r="12" spans="1:6">
      <c r="A12" s="818"/>
      <c r="B12" s="820"/>
      <c r="C12" s="820"/>
      <c r="D12" s="820"/>
      <c r="E12" s="816"/>
      <c r="F12" s="816"/>
    </row>
    <row r="13" spans="1:6">
      <c r="A13" s="828" t="s">
        <v>303</v>
      </c>
      <c r="B13" s="830" t="s">
        <v>298</v>
      </c>
      <c r="C13" s="823" t="s">
        <v>304</v>
      </c>
      <c r="D13" s="823" t="s">
        <v>305</v>
      </c>
      <c r="E13" s="833" t="s">
        <v>306</v>
      </c>
      <c r="F13" s="799" t="s">
        <v>307</v>
      </c>
    </row>
    <row r="14" spans="1:6">
      <c r="A14" s="829"/>
      <c r="B14" s="830"/>
      <c r="C14" s="820"/>
      <c r="D14" s="820"/>
      <c r="E14" s="834"/>
      <c r="F14" s="799"/>
    </row>
    <row r="15" spans="1:6" ht="16.5">
      <c r="A15" s="675" t="s">
        <v>308</v>
      </c>
      <c r="B15" s="676" t="s">
        <v>309</v>
      </c>
      <c r="C15" s="676" t="s">
        <v>310</v>
      </c>
      <c r="D15" s="676" t="s">
        <v>311</v>
      </c>
      <c r="E15" s="690" t="s">
        <v>312</v>
      </c>
      <c r="F15" s="676" t="s">
        <v>313</v>
      </c>
    </row>
    <row r="16" spans="1:6" ht="33">
      <c r="A16" s="671" t="s">
        <v>314</v>
      </c>
      <c r="B16" s="677" t="s">
        <v>315</v>
      </c>
      <c r="C16" s="678">
        <v>104.8</v>
      </c>
      <c r="D16" s="678">
        <v>103.8</v>
      </c>
      <c r="E16" s="691">
        <v>106.6</v>
      </c>
      <c r="F16" s="679">
        <v>105.1</v>
      </c>
    </row>
    <row r="17" spans="1:6" ht="17.25" thickBot="1">
      <c r="A17" s="669" t="s">
        <v>288</v>
      </c>
      <c r="B17" s="680" t="s">
        <v>316</v>
      </c>
      <c r="C17" s="681" t="s">
        <v>290</v>
      </c>
      <c r="D17" s="673" t="s">
        <v>291</v>
      </c>
      <c r="E17" s="674" t="s">
        <v>292</v>
      </c>
      <c r="F17" s="681" t="s">
        <v>296</v>
      </c>
    </row>
    <row r="18" spans="1:6">
      <c r="A18" s="804" t="s">
        <v>317</v>
      </c>
      <c r="B18" s="806">
        <v>109.3</v>
      </c>
      <c r="C18" s="807">
        <v>108.1</v>
      </c>
      <c r="D18" s="807">
        <v>106.4</v>
      </c>
      <c r="E18" s="831">
        <v>107.5</v>
      </c>
      <c r="F18" s="826">
        <v>106</v>
      </c>
    </row>
    <row r="19" spans="1:6">
      <c r="A19" s="805"/>
      <c r="B19" s="806"/>
      <c r="C19" s="806"/>
      <c r="D19" s="806"/>
      <c r="E19" s="832"/>
      <c r="F19" s="827"/>
    </row>
    <row r="20" spans="1:6" ht="17.25" thickBot="1">
      <c r="A20" s="672" t="s">
        <v>288</v>
      </c>
      <c r="B20" s="681" t="s">
        <v>318</v>
      </c>
      <c r="C20" s="681" t="s">
        <v>295</v>
      </c>
      <c r="D20" s="673" t="s">
        <v>319</v>
      </c>
      <c r="E20" s="674" t="s">
        <v>320</v>
      </c>
      <c r="F20" s="681" t="s">
        <v>321</v>
      </c>
    </row>
    <row r="21" spans="1:6">
      <c r="A21" s="824" t="s">
        <v>322</v>
      </c>
      <c r="B21" s="800" t="s">
        <v>323</v>
      </c>
      <c r="C21" s="802" t="s">
        <v>324</v>
      </c>
      <c r="D21" s="807">
        <v>106.4</v>
      </c>
      <c r="E21" s="826">
        <v>107</v>
      </c>
      <c r="F21" s="826">
        <v>105</v>
      </c>
    </row>
    <row r="22" spans="1:6">
      <c r="A22" s="825"/>
      <c r="B22" s="801"/>
      <c r="C22" s="803"/>
      <c r="D22" s="806"/>
      <c r="E22" s="827"/>
      <c r="F22" s="827"/>
    </row>
    <row r="23" spans="1:6" ht="17.25" thickBot="1">
      <c r="A23" s="672" t="s">
        <v>288</v>
      </c>
      <c r="B23" s="681" t="s">
        <v>325</v>
      </c>
      <c r="C23" s="681" t="s">
        <v>295</v>
      </c>
      <c r="D23" s="673" t="s">
        <v>319</v>
      </c>
      <c r="E23" s="674" t="s">
        <v>292</v>
      </c>
      <c r="F23" s="681" t="s">
        <v>295</v>
      </c>
    </row>
    <row r="24" spans="1:6" ht="33">
      <c r="A24" s="683" t="s">
        <v>326</v>
      </c>
      <c r="B24" s="682">
        <v>107</v>
      </c>
      <c r="C24" s="682">
        <v>100</v>
      </c>
      <c r="D24" s="682">
        <v>110</v>
      </c>
      <c r="E24" s="656">
        <v>105.5</v>
      </c>
      <c r="F24" s="682">
        <v>104.5</v>
      </c>
    </row>
    <row r="25" spans="1:6" ht="33.75" thickBot="1">
      <c r="A25" s="672" t="s">
        <v>288</v>
      </c>
      <c r="B25" s="684" t="s">
        <v>327</v>
      </c>
      <c r="C25" s="684" t="s">
        <v>328</v>
      </c>
      <c r="D25" s="684" t="s">
        <v>329</v>
      </c>
      <c r="E25" s="674" t="s">
        <v>330</v>
      </c>
      <c r="F25" s="684" t="s">
        <v>331</v>
      </c>
    </row>
    <row r="26" spans="1:6" ht="49.5">
      <c r="A26" s="683" t="s">
        <v>332</v>
      </c>
      <c r="B26" s="685">
        <v>120</v>
      </c>
      <c r="C26" s="682">
        <v>104.2</v>
      </c>
      <c r="D26" s="682">
        <v>110</v>
      </c>
      <c r="E26" s="656">
        <v>105.5</v>
      </c>
      <c r="F26" s="682">
        <v>104.5</v>
      </c>
    </row>
    <row r="27" spans="1:6" ht="33.75" thickBot="1">
      <c r="A27" s="672" t="s">
        <v>288</v>
      </c>
      <c r="B27" s="686" t="s">
        <v>333</v>
      </c>
      <c r="C27" s="681" t="s">
        <v>334</v>
      </c>
      <c r="D27" s="684" t="s">
        <v>329</v>
      </c>
      <c r="E27" s="674" t="s">
        <v>330</v>
      </c>
      <c r="F27" s="684" t="s">
        <v>331</v>
      </c>
    </row>
    <row r="28" spans="1:6" ht="18.75">
      <c r="A28" s="797" t="s">
        <v>335</v>
      </c>
      <c r="B28" s="798"/>
      <c r="C28" s="798"/>
      <c r="D28" s="798"/>
      <c r="E28" s="798"/>
      <c r="F28" s="798"/>
    </row>
    <row r="29" spans="1:6" ht="15.75">
      <c r="A29" s="821" t="s">
        <v>336</v>
      </c>
      <c r="B29" s="822"/>
      <c r="C29" s="822"/>
      <c r="D29" s="822"/>
      <c r="E29" s="822"/>
      <c r="F29" s="822"/>
    </row>
    <row r="30" spans="1:6" ht="15.75">
      <c r="A30" s="821" t="s">
        <v>337</v>
      </c>
      <c r="B30" s="822"/>
      <c r="C30" s="822"/>
      <c r="D30" s="822"/>
      <c r="E30" s="822"/>
      <c r="F30" s="664"/>
    </row>
    <row r="31" spans="1:6" ht="15.75">
      <c r="A31" s="821" t="s">
        <v>338</v>
      </c>
      <c r="B31" s="822"/>
      <c r="C31" s="822"/>
      <c r="D31" s="822"/>
      <c r="E31" s="822"/>
      <c r="F31" s="822"/>
    </row>
    <row r="33" spans="3:4" ht="15.75">
      <c r="C33" s="657"/>
      <c r="D33" s="657"/>
    </row>
  </sheetData>
  <mergeCells count="32">
    <mergeCell ref="A29:F29"/>
    <mergeCell ref="A30:E30"/>
    <mergeCell ref="A31:F31"/>
    <mergeCell ref="D11:D12"/>
    <mergeCell ref="D13:D14"/>
    <mergeCell ref="D18:D19"/>
    <mergeCell ref="D21:D22"/>
    <mergeCell ref="A21:A22"/>
    <mergeCell ref="E21:E22"/>
    <mergeCell ref="F21:F22"/>
    <mergeCell ref="F18:F19"/>
    <mergeCell ref="A13:A14"/>
    <mergeCell ref="B13:B14"/>
    <mergeCell ref="C13:C14"/>
    <mergeCell ref="E18:E19"/>
    <mergeCell ref="E13:E14"/>
    <mergeCell ref="A2:F2"/>
    <mergeCell ref="A3:F3"/>
    <mergeCell ref="A4:A5"/>
    <mergeCell ref="D5:F5"/>
    <mergeCell ref="E11:E12"/>
    <mergeCell ref="F11:F12"/>
    <mergeCell ref="A11:A12"/>
    <mergeCell ref="B11:B12"/>
    <mergeCell ref="C11:C12"/>
    <mergeCell ref="A28:F28"/>
    <mergeCell ref="F13:F14"/>
    <mergeCell ref="B21:B22"/>
    <mergeCell ref="C21:C22"/>
    <mergeCell ref="A18:A19"/>
    <mergeCell ref="B18:B19"/>
    <mergeCell ref="C18:C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zoomScale="80" zoomScaleNormal="80" workbookViewId="0">
      <selection activeCell="C5" sqref="C5"/>
    </sheetView>
  </sheetViews>
  <sheetFormatPr defaultRowHeight="12"/>
  <cols>
    <col min="1" max="1" width="19.85546875" style="10" customWidth="1"/>
    <col min="2" max="2" width="10.42578125" style="10" customWidth="1"/>
    <col min="3" max="3" width="12.42578125" style="10" bestFit="1" customWidth="1"/>
    <col min="4" max="26" width="11" style="10" bestFit="1" customWidth="1"/>
    <col min="27" max="16384" width="9.140625" style="10"/>
  </cols>
  <sheetData>
    <row r="1" spans="1:26" s="694" customFormat="1" ht="14.25" customHeight="1">
      <c r="A1" s="729" t="s">
        <v>339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1"/>
    </row>
    <row r="2" spans="1:26" s="694" customFormat="1" ht="15.75">
      <c r="A2" s="839" t="s">
        <v>342</v>
      </c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840"/>
      <c r="P2" s="840"/>
      <c r="Q2" s="840"/>
      <c r="R2" s="840"/>
      <c r="S2" s="840"/>
      <c r="T2" s="840"/>
      <c r="U2" s="840"/>
      <c r="V2" s="840"/>
      <c r="W2" s="840"/>
      <c r="X2" s="840"/>
      <c r="Y2" s="840"/>
      <c r="Z2" s="841"/>
    </row>
    <row r="3" spans="1:26">
      <c r="A3" s="836" t="s">
        <v>26</v>
      </c>
      <c r="B3" s="790"/>
      <c r="C3" s="793" t="s">
        <v>11</v>
      </c>
      <c r="D3" s="793"/>
      <c r="E3" s="793"/>
      <c r="F3" s="793"/>
      <c r="G3" s="793" t="s">
        <v>12</v>
      </c>
      <c r="H3" s="793"/>
      <c r="I3" s="793"/>
      <c r="J3" s="793"/>
      <c r="K3" s="788" t="s">
        <v>13</v>
      </c>
      <c r="L3" s="789"/>
      <c r="M3" s="789"/>
      <c r="N3" s="790"/>
      <c r="O3" s="788" t="s">
        <v>14</v>
      </c>
      <c r="P3" s="789"/>
      <c r="Q3" s="789"/>
      <c r="R3" s="790"/>
      <c r="S3" s="788" t="s">
        <v>15</v>
      </c>
      <c r="T3" s="789"/>
      <c r="U3" s="789"/>
      <c r="V3" s="790"/>
      <c r="W3" s="788" t="s">
        <v>16</v>
      </c>
      <c r="X3" s="789"/>
      <c r="Y3" s="789"/>
      <c r="Z3" s="835"/>
    </row>
    <row r="4" spans="1:26">
      <c r="A4" s="837"/>
      <c r="B4" s="792"/>
      <c r="C4" s="654" t="s">
        <v>2</v>
      </c>
      <c r="D4" s="654" t="s">
        <v>3</v>
      </c>
      <c r="E4" s="654" t="s">
        <v>4</v>
      </c>
      <c r="F4" s="654" t="s">
        <v>5</v>
      </c>
      <c r="G4" s="654" t="s">
        <v>2</v>
      </c>
      <c r="H4" s="654" t="s">
        <v>3</v>
      </c>
      <c r="I4" s="654" t="s">
        <v>4</v>
      </c>
      <c r="J4" s="654" t="s">
        <v>5</v>
      </c>
      <c r="K4" s="12" t="s">
        <v>2</v>
      </c>
      <c r="L4" s="12" t="s">
        <v>3</v>
      </c>
      <c r="M4" s="12" t="s">
        <v>4</v>
      </c>
      <c r="N4" s="12" t="s">
        <v>5</v>
      </c>
      <c r="O4" s="13" t="s">
        <v>2</v>
      </c>
      <c r="P4" s="13" t="s">
        <v>3</v>
      </c>
      <c r="Q4" s="13" t="s">
        <v>4</v>
      </c>
      <c r="R4" s="13" t="s">
        <v>5</v>
      </c>
      <c r="S4" s="12" t="s">
        <v>2</v>
      </c>
      <c r="T4" s="12" t="s">
        <v>3</v>
      </c>
      <c r="U4" s="12" t="s">
        <v>4</v>
      </c>
      <c r="V4" s="12" t="s">
        <v>5</v>
      </c>
      <c r="W4" s="13" t="s">
        <v>2</v>
      </c>
      <c r="X4" s="13" t="s">
        <v>3</v>
      </c>
      <c r="Y4" s="13" t="s">
        <v>4</v>
      </c>
      <c r="Z4" s="707" t="s">
        <v>5</v>
      </c>
    </row>
    <row r="5" spans="1:26" ht="18.75" customHeight="1">
      <c r="A5" s="723" t="s">
        <v>6</v>
      </c>
      <c r="B5" s="699" t="s">
        <v>7</v>
      </c>
      <c r="C5" s="701" t="e">
        <f>#REF!*8.8%+#REF!</f>
        <v>#REF!</v>
      </c>
      <c r="D5" s="701" t="e">
        <f>#REF!*8.8%+#REF!</f>
        <v>#REF!</v>
      </c>
      <c r="E5" s="701" t="e">
        <f>#REF!*8.8%+#REF!</f>
        <v>#REF!</v>
      </c>
      <c r="F5" s="701" t="e">
        <f>#REF!*8.8%+#REF!</f>
        <v>#REF!</v>
      </c>
      <c r="G5" s="701" t="e">
        <f>#REF!*8.8%+#REF!</f>
        <v>#REF!</v>
      </c>
      <c r="H5" s="701" t="e">
        <f>#REF!*8.8%+#REF!</f>
        <v>#REF!</v>
      </c>
      <c r="I5" s="701" t="e">
        <f>#REF!*8.8%+#REF!</f>
        <v>#REF!</v>
      </c>
      <c r="J5" s="701" t="e">
        <f>#REF!*8.8%+#REF!</f>
        <v>#REF!</v>
      </c>
      <c r="K5" s="701" t="e">
        <f>#REF!*8.8%+#REF!</f>
        <v>#REF!</v>
      </c>
      <c r="L5" s="701" t="e">
        <f>#REF!*8.8%+#REF!</f>
        <v>#REF!</v>
      </c>
      <c r="M5" s="701" t="e">
        <f>#REF!*8.8%+#REF!</f>
        <v>#REF!</v>
      </c>
      <c r="N5" s="701" t="e">
        <f>#REF!*8.8%+#REF!</f>
        <v>#REF!</v>
      </c>
      <c r="O5" s="701" t="e">
        <f>#REF!*8.8%+#REF!</f>
        <v>#REF!</v>
      </c>
      <c r="P5" s="701" t="e">
        <f>#REF!*8.8%+#REF!</f>
        <v>#REF!</v>
      </c>
      <c r="Q5" s="701" t="e">
        <f>#REF!*8.8%+#REF!</f>
        <v>#REF!</v>
      </c>
      <c r="R5" s="701" t="e">
        <f>#REF!*8.8%+#REF!</f>
        <v>#REF!</v>
      </c>
      <c r="S5" s="701" t="e">
        <f>#REF!*8.8%+#REF!</f>
        <v>#REF!</v>
      </c>
      <c r="T5" s="701" t="e">
        <f>#REF!*8.8%+#REF!</f>
        <v>#REF!</v>
      </c>
      <c r="U5" s="701" t="e">
        <f>#REF!*8.8%+#REF!</f>
        <v>#REF!</v>
      </c>
      <c r="V5" s="701" t="e">
        <f>#REF!*8.8%+#REF!</f>
        <v>#REF!</v>
      </c>
      <c r="W5" s="701" t="e">
        <f>#REF!*8.8%+#REF!</f>
        <v>#REF!</v>
      </c>
      <c r="X5" s="701" t="e">
        <f>#REF!*8.8%+#REF!</f>
        <v>#REF!</v>
      </c>
      <c r="Y5" s="701" t="e">
        <f>#REF!*8.8%+#REF!</f>
        <v>#REF!</v>
      </c>
      <c r="Z5" s="736" t="e">
        <f>#REF!*8.8%+#REF!</f>
        <v>#REF!</v>
      </c>
    </row>
    <row r="6" spans="1:26" ht="18.75" customHeight="1">
      <c r="A6" s="723" t="s">
        <v>8</v>
      </c>
      <c r="B6" s="699" t="s">
        <v>7</v>
      </c>
      <c r="C6" s="701" t="e">
        <f>#REF!*8.8%+#REF!</f>
        <v>#REF!</v>
      </c>
      <c r="D6" s="701" t="e">
        <f>#REF!*8.8%+#REF!</f>
        <v>#REF!</v>
      </c>
      <c r="E6" s="701" t="e">
        <f>#REF!*8.8%+#REF!</f>
        <v>#REF!</v>
      </c>
      <c r="F6" s="701" t="e">
        <f>#REF!*8.8%+#REF!</f>
        <v>#REF!</v>
      </c>
      <c r="G6" s="701" t="e">
        <f>#REF!*8.8%+#REF!</f>
        <v>#REF!</v>
      </c>
      <c r="H6" s="701" t="e">
        <f>#REF!*8.8%+#REF!</f>
        <v>#REF!</v>
      </c>
      <c r="I6" s="701" t="e">
        <f>#REF!*8.8%+#REF!</f>
        <v>#REF!</v>
      </c>
      <c r="J6" s="701" t="e">
        <f>#REF!*8.8%+#REF!</f>
        <v>#REF!</v>
      </c>
      <c r="K6" s="701" t="e">
        <f>#REF!*8.8%+#REF!</f>
        <v>#REF!</v>
      </c>
      <c r="L6" s="701" t="e">
        <f>#REF!*8.8%+#REF!</f>
        <v>#REF!</v>
      </c>
      <c r="M6" s="701" t="e">
        <f>#REF!*8.8%+#REF!</f>
        <v>#REF!</v>
      </c>
      <c r="N6" s="701" t="e">
        <f>#REF!*8.8%+#REF!</f>
        <v>#REF!</v>
      </c>
      <c r="O6" s="701" t="e">
        <f>#REF!*8.8%+#REF!</f>
        <v>#REF!</v>
      </c>
      <c r="P6" s="701" t="e">
        <f>#REF!*8.8%+#REF!</f>
        <v>#REF!</v>
      </c>
      <c r="Q6" s="701" t="e">
        <f>#REF!*8.8%+#REF!</f>
        <v>#REF!</v>
      </c>
      <c r="R6" s="701" t="e">
        <f>#REF!*8.8%+#REF!</f>
        <v>#REF!</v>
      </c>
      <c r="S6" s="701" t="e">
        <f>#REF!*8.8%+#REF!</f>
        <v>#REF!</v>
      </c>
      <c r="T6" s="701" t="e">
        <f>#REF!*8.8%+#REF!</f>
        <v>#REF!</v>
      </c>
      <c r="U6" s="701" t="e">
        <f>#REF!*8.8%+#REF!</f>
        <v>#REF!</v>
      </c>
      <c r="V6" s="701" t="e">
        <f>#REF!*8.8%+#REF!</f>
        <v>#REF!</v>
      </c>
      <c r="W6" s="701" t="e">
        <f>#REF!*8.8%+#REF!</f>
        <v>#REF!</v>
      </c>
      <c r="X6" s="701" t="e">
        <f>#REF!*8.8%+#REF!</f>
        <v>#REF!</v>
      </c>
      <c r="Y6" s="701" t="e">
        <f>#REF!*8.8%+#REF!</f>
        <v>#REF!</v>
      </c>
      <c r="Z6" s="736" t="e">
        <f>#REF!*8.8%+#REF!</f>
        <v>#REF!</v>
      </c>
    </row>
    <row r="7" spans="1:26" ht="18.75" customHeight="1">
      <c r="A7" s="723" t="s">
        <v>9</v>
      </c>
      <c r="B7" s="699" t="s">
        <v>7</v>
      </c>
      <c r="C7" s="701" t="e">
        <f>#REF!*8.8%+#REF!</f>
        <v>#REF!</v>
      </c>
      <c r="D7" s="701" t="e">
        <f>#REF!*8.8%+#REF!</f>
        <v>#REF!</v>
      </c>
      <c r="E7" s="701" t="e">
        <f>#REF!*8.8%+#REF!</f>
        <v>#REF!</v>
      </c>
      <c r="F7" s="701" t="e">
        <f>#REF!*8.8%+#REF!</f>
        <v>#REF!</v>
      </c>
      <c r="G7" s="701" t="e">
        <f>#REF!*8.8%+#REF!</f>
        <v>#REF!</v>
      </c>
      <c r="H7" s="701" t="e">
        <f>#REF!*8.8%+#REF!</f>
        <v>#REF!</v>
      </c>
      <c r="I7" s="701" t="e">
        <f>#REF!*8.8%+#REF!</f>
        <v>#REF!</v>
      </c>
      <c r="J7" s="701" t="e">
        <f>#REF!*8.8%+#REF!</f>
        <v>#REF!</v>
      </c>
      <c r="K7" s="701" t="e">
        <f>#REF!*8.8%+#REF!</f>
        <v>#REF!</v>
      </c>
      <c r="L7" s="701" t="e">
        <f>#REF!*8.8%+#REF!</f>
        <v>#REF!</v>
      </c>
      <c r="M7" s="701" t="e">
        <f>#REF!*8.8%+#REF!</f>
        <v>#REF!</v>
      </c>
      <c r="N7" s="701" t="e">
        <f>#REF!*8.8%+#REF!</f>
        <v>#REF!</v>
      </c>
      <c r="O7" s="701" t="e">
        <f>#REF!*8.8%+#REF!</f>
        <v>#REF!</v>
      </c>
      <c r="P7" s="701" t="e">
        <f>#REF!*8.8%+#REF!</f>
        <v>#REF!</v>
      </c>
      <c r="Q7" s="701" t="e">
        <f>#REF!*8.8%+#REF!</f>
        <v>#REF!</v>
      </c>
      <c r="R7" s="701" t="e">
        <f>#REF!*8.8%+#REF!</f>
        <v>#REF!</v>
      </c>
      <c r="S7" s="701" t="e">
        <f>#REF!*8.8%+#REF!</f>
        <v>#REF!</v>
      </c>
      <c r="T7" s="701" t="e">
        <f>#REF!*8.8%+#REF!</f>
        <v>#REF!</v>
      </c>
      <c r="U7" s="701" t="e">
        <f>#REF!*8.8%+#REF!</f>
        <v>#REF!</v>
      </c>
      <c r="V7" s="701" t="e">
        <f>#REF!*8.8%+#REF!</f>
        <v>#REF!</v>
      </c>
      <c r="W7" s="701" t="e">
        <f>#REF!*8.8%+#REF!</f>
        <v>#REF!</v>
      </c>
      <c r="X7" s="701" t="e">
        <f>#REF!*8.8%+#REF!</f>
        <v>#REF!</v>
      </c>
      <c r="Y7" s="701" t="e">
        <f>#REF!*8.8%+#REF!</f>
        <v>#REF!</v>
      </c>
      <c r="Z7" s="736" t="e">
        <f>#REF!*8.8%+#REF!</f>
        <v>#REF!</v>
      </c>
    </row>
    <row r="8" spans="1:26" ht="18.75" customHeight="1">
      <c r="A8" s="723" t="s">
        <v>10</v>
      </c>
      <c r="B8" s="699" t="s">
        <v>7</v>
      </c>
      <c r="C8" s="701" t="e">
        <f>#REF!*8.8%+#REF!</f>
        <v>#REF!</v>
      </c>
      <c r="D8" s="701" t="e">
        <f>#REF!*8.8%+#REF!</f>
        <v>#REF!</v>
      </c>
      <c r="E8" s="701" t="e">
        <f>#REF!*8.8%+#REF!</f>
        <v>#REF!</v>
      </c>
      <c r="F8" s="701" t="e">
        <f>#REF!*8.8%+#REF!</f>
        <v>#REF!</v>
      </c>
      <c r="G8" s="701" t="e">
        <f>#REF!*8.8%+#REF!</f>
        <v>#REF!</v>
      </c>
      <c r="H8" s="701" t="e">
        <f>#REF!*8.8%+#REF!</f>
        <v>#REF!</v>
      </c>
      <c r="I8" s="701" t="e">
        <f>#REF!*8.8%+#REF!</f>
        <v>#REF!</v>
      </c>
      <c r="J8" s="701" t="e">
        <f>#REF!*8.8%+#REF!</f>
        <v>#REF!</v>
      </c>
      <c r="K8" s="701" t="e">
        <f>#REF!*8.8%+#REF!</f>
        <v>#REF!</v>
      </c>
      <c r="L8" s="701" t="e">
        <f>#REF!*8.8%+#REF!</f>
        <v>#REF!</v>
      </c>
      <c r="M8" s="701" t="e">
        <f>#REF!*8.8%+#REF!</f>
        <v>#REF!</v>
      </c>
      <c r="N8" s="701" t="e">
        <f>#REF!*8.8%+#REF!</f>
        <v>#REF!</v>
      </c>
      <c r="O8" s="701" t="e">
        <f>#REF!*8.8%+#REF!</f>
        <v>#REF!</v>
      </c>
      <c r="P8" s="701" t="e">
        <f>#REF!*8.8%+#REF!</f>
        <v>#REF!</v>
      </c>
      <c r="Q8" s="701" t="e">
        <f>#REF!*8.8%+#REF!</f>
        <v>#REF!</v>
      </c>
      <c r="R8" s="701" t="e">
        <f>#REF!*8.8%+#REF!</f>
        <v>#REF!</v>
      </c>
      <c r="S8" s="701" t="e">
        <f>#REF!*8.8%+#REF!</f>
        <v>#REF!</v>
      </c>
      <c r="T8" s="701" t="e">
        <f>#REF!*8.8%+#REF!</f>
        <v>#REF!</v>
      </c>
      <c r="U8" s="701" t="e">
        <f>#REF!*8.8%+#REF!</f>
        <v>#REF!</v>
      </c>
      <c r="V8" s="701" t="e">
        <f>#REF!*8.8%+#REF!</f>
        <v>#REF!</v>
      </c>
      <c r="W8" s="701" t="e">
        <f>#REF!*8.8%+#REF!</f>
        <v>#REF!</v>
      </c>
      <c r="X8" s="701" t="e">
        <f>#REF!*8.8%+#REF!</f>
        <v>#REF!</v>
      </c>
      <c r="Y8" s="701" t="e">
        <f>#REF!*8.8%+#REF!</f>
        <v>#REF!</v>
      </c>
      <c r="Z8" s="736" t="e">
        <f>#REF!*8.8%+#REF!</f>
        <v>#REF!</v>
      </c>
    </row>
    <row r="9" spans="1:26">
      <c r="A9" s="836" t="s">
        <v>27</v>
      </c>
      <c r="B9" s="790"/>
      <c r="C9" s="793" t="s">
        <v>17</v>
      </c>
      <c r="D9" s="793"/>
      <c r="E9" s="793"/>
      <c r="F9" s="793"/>
      <c r="G9" s="793" t="s">
        <v>18</v>
      </c>
      <c r="H9" s="793"/>
      <c r="I9" s="793"/>
      <c r="J9" s="793"/>
      <c r="K9" s="793" t="s">
        <v>19</v>
      </c>
      <c r="L9" s="793"/>
      <c r="M9" s="793"/>
      <c r="N9" s="793"/>
      <c r="O9" s="793" t="s">
        <v>20</v>
      </c>
      <c r="P9" s="793"/>
      <c r="Q9" s="793"/>
      <c r="R9" s="793"/>
      <c r="S9" s="793" t="s">
        <v>21</v>
      </c>
      <c r="T9" s="793"/>
      <c r="U9" s="793"/>
      <c r="V9" s="793"/>
      <c r="W9" s="793" t="s">
        <v>22</v>
      </c>
      <c r="X9" s="793"/>
      <c r="Y9" s="793"/>
      <c r="Z9" s="838"/>
    </row>
    <row r="10" spans="1:26">
      <c r="A10" s="837"/>
      <c r="B10" s="792"/>
      <c r="C10" s="654" t="s">
        <v>2</v>
      </c>
      <c r="D10" s="654" t="s">
        <v>3</v>
      </c>
      <c r="E10" s="654" t="s">
        <v>4</v>
      </c>
      <c r="F10" s="654" t="s">
        <v>5</v>
      </c>
      <c r="G10" s="654" t="s">
        <v>2</v>
      </c>
      <c r="H10" s="654" t="s">
        <v>3</v>
      </c>
      <c r="I10" s="654" t="s">
        <v>4</v>
      </c>
      <c r="J10" s="654" t="s">
        <v>5</v>
      </c>
      <c r="K10" s="12" t="s">
        <v>2</v>
      </c>
      <c r="L10" s="12" t="s">
        <v>3</v>
      </c>
      <c r="M10" s="12" t="s">
        <v>4</v>
      </c>
      <c r="N10" s="12" t="s">
        <v>5</v>
      </c>
      <c r="O10" s="13" t="s">
        <v>2</v>
      </c>
      <c r="P10" s="13" t="s">
        <v>3</v>
      </c>
      <c r="Q10" s="13" t="s">
        <v>4</v>
      </c>
      <c r="R10" s="13" t="s">
        <v>5</v>
      </c>
      <c r="S10" s="12" t="s">
        <v>2</v>
      </c>
      <c r="T10" s="12" t="s">
        <v>3</v>
      </c>
      <c r="U10" s="12" t="s">
        <v>4</v>
      </c>
      <c r="V10" s="12" t="s">
        <v>5</v>
      </c>
      <c r="W10" s="13" t="s">
        <v>2</v>
      </c>
      <c r="X10" s="13" t="s">
        <v>3</v>
      </c>
      <c r="Y10" s="13" t="s">
        <v>4</v>
      </c>
      <c r="Z10" s="707" t="s">
        <v>5</v>
      </c>
    </row>
    <row r="11" spans="1:26" ht="19.5" customHeight="1">
      <c r="A11" s="723" t="s">
        <v>6</v>
      </c>
      <c r="B11" s="699" t="s">
        <v>7</v>
      </c>
      <c r="C11" s="701" t="e">
        <f>#REF!*8.8%+#REF!</f>
        <v>#REF!</v>
      </c>
      <c r="D11" s="701" t="e">
        <f>#REF!*8.8%+#REF!</f>
        <v>#REF!</v>
      </c>
      <c r="E11" s="701" t="e">
        <f>#REF!*8.8%+#REF!</f>
        <v>#REF!</v>
      </c>
      <c r="F11" s="701" t="e">
        <f>#REF!*8.8%+#REF!</f>
        <v>#REF!</v>
      </c>
      <c r="G11" s="701" t="e">
        <f>#REF!*8.8%+#REF!</f>
        <v>#REF!</v>
      </c>
      <c r="H11" s="701" t="e">
        <f>#REF!*8.8%+#REF!</f>
        <v>#REF!</v>
      </c>
      <c r="I11" s="701" t="e">
        <f>#REF!*8.8%+#REF!</f>
        <v>#REF!</v>
      </c>
      <c r="J11" s="701" t="e">
        <f>#REF!*8.8%+#REF!</f>
        <v>#REF!</v>
      </c>
      <c r="K11" s="701" t="e">
        <f>#REF!*8.8%+#REF!</f>
        <v>#REF!</v>
      </c>
      <c r="L11" s="701" t="e">
        <f>#REF!*8.8%+#REF!</f>
        <v>#REF!</v>
      </c>
      <c r="M11" s="701" t="e">
        <f>#REF!*8.8%+#REF!</f>
        <v>#REF!</v>
      </c>
      <c r="N11" s="701" t="e">
        <f>#REF!*8.8%+#REF!</f>
        <v>#REF!</v>
      </c>
      <c r="O11" s="700" t="e">
        <f>#REF!*8.8%+#REF!</f>
        <v>#REF!</v>
      </c>
      <c r="P11" s="700" t="e">
        <f>#REF!*8.8%+#REF!</f>
        <v>#REF!</v>
      </c>
      <c r="Q11" s="700" t="e">
        <f>#REF!*8.8%+#REF!</f>
        <v>#REF!</v>
      </c>
      <c r="R11" s="700" t="e">
        <f>#REF!*8.8%+#REF!</f>
        <v>#REF!</v>
      </c>
      <c r="S11" s="700" t="e">
        <f>#REF!*8.8%+#REF!</f>
        <v>#REF!</v>
      </c>
      <c r="T11" s="700" t="e">
        <f>#REF!*8.8%+#REF!</f>
        <v>#REF!</v>
      </c>
      <c r="U11" s="700" t="e">
        <f>#REF!*8.8%+#REF!</f>
        <v>#REF!</v>
      </c>
      <c r="V11" s="700" t="e">
        <f>#REF!*8.8%+#REF!</f>
        <v>#REF!</v>
      </c>
      <c r="W11" s="700" t="e">
        <f>#REF!*8.8%+#REF!</f>
        <v>#REF!</v>
      </c>
      <c r="X11" s="700" t="e">
        <f>#REF!*8.8%+#REF!</f>
        <v>#REF!</v>
      </c>
      <c r="Y11" s="700" t="e">
        <f>#REF!*8.8%+#REF!</f>
        <v>#REF!</v>
      </c>
      <c r="Z11" s="724" t="e">
        <f>#REF!*8.8%+#REF!</f>
        <v>#REF!</v>
      </c>
    </row>
    <row r="12" spans="1:26" ht="19.5" customHeight="1">
      <c r="A12" s="723" t="s">
        <v>8</v>
      </c>
      <c r="B12" s="699" t="s">
        <v>7</v>
      </c>
      <c r="C12" s="701" t="e">
        <f>#REF!*8.8%+#REF!</f>
        <v>#REF!</v>
      </c>
      <c r="D12" s="701" t="e">
        <f>#REF!*8.8%+#REF!</f>
        <v>#REF!</v>
      </c>
      <c r="E12" s="701" t="e">
        <f>#REF!*8.8%+#REF!</f>
        <v>#REF!</v>
      </c>
      <c r="F12" s="701" t="e">
        <f>#REF!*8.8%+#REF!</f>
        <v>#REF!</v>
      </c>
      <c r="G12" s="701" t="e">
        <f>#REF!*8.8%+#REF!</f>
        <v>#REF!</v>
      </c>
      <c r="H12" s="701" t="e">
        <f>#REF!*8.8%+#REF!</f>
        <v>#REF!</v>
      </c>
      <c r="I12" s="701" t="e">
        <f>#REF!*8.8%+#REF!</f>
        <v>#REF!</v>
      </c>
      <c r="J12" s="701" t="e">
        <f>#REF!*8.8%+#REF!</f>
        <v>#REF!</v>
      </c>
      <c r="K12" s="701" t="e">
        <f>#REF!*8.8%+#REF!</f>
        <v>#REF!</v>
      </c>
      <c r="L12" s="701" t="e">
        <f>#REF!*8.8%+#REF!</f>
        <v>#REF!</v>
      </c>
      <c r="M12" s="701" t="e">
        <f>#REF!*8.8%+#REF!</f>
        <v>#REF!</v>
      </c>
      <c r="N12" s="701" t="e">
        <f>#REF!*8.8%+#REF!</f>
        <v>#REF!</v>
      </c>
      <c r="O12" s="700" t="e">
        <f>#REF!*8.8%+#REF!</f>
        <v>#REF!</v>
      </c>
      <c r="P12" s="700" t="e">
        <f>#REF!*8.8%+#REF!</f>
        <v>#REF!</v>
      </c>
      <c r="Q12" s="700" t="e">
        <f>#REF!*8.8%+#REF!</f>
        <v>#REF!</v>
      </c>
      <c r="R12" s="700" t="e">
        <f>#REF!*8.8%+#REF!</f>
        <v>#REF!</v>
      </c>
      <c r="S12" s="700" t="e">
        <f>#REF!*8.8%+#REF!</f>
        <v>#REF!</v>
      </c>
      <c r="T12" s="700" t="e">
        <f>#REF!*8.8%+#REF!</f>
        <v>#REF!</v>
      </c>
      <c r="U12" s="700" t="e">
        <f>#REF!*8.8%+#REF!</f>
        <v>#REF!</v>
      </c>
      <c r="V12" s="700" t="e">
        <f>#REF!*8.8%+#REF!</f>
        <v>#REF!</v>
      </c>
      <c r="W12" s="700" t="e">
        <f>#REF!*8.8%+#REF!</f>
        <v>#REF!</v>
      </c>
      <c r="X12" s="700" t="e">
        <f>#REF!*8.8%+#REF!</f>
        <v>#REF!</v>
      </c>
      <c r="Y12" s="700" t="e">
        <f>#REF!*8.8%+#REF!</f>
        <v>#REF!</v>
      </c>
      <c r="Z12" s="724" t="e">
        <f>#REF!*8.8%+#REF!</f>
        <v>#REF!</v>
      </c>
    </row>
    <row r="13" spans="1:26" ht="19.5" customHeight="1">
      <c r="A13" s="723" t="s">
        <v>9</v>
      </c>
      <c r="B13" s="699" t="s">
        <v>7</v>
      </c>
      <c r="C13" s="701" t="e">
        <f>#REF!*8.8%+#REF!</f>
        <v>#REF!</v>
      </c>
      <c r="D13" s="701" t="e">
        <f>#REF!*8.8%+#REF!</f>
        <v>#REF!</v>
      </c>
      <c r="E13" s="701" t="e">
        <f>#REF!*8.8%+#REF!</f>
        <v>#REF!</v>
      </c>
      <c r="F13" s="701" t="e">
        <f>#REF!*8.8%+#REF!</f>
        <v>#REF!</v>
      </c>
      <c r="G13" s="701" t="e">
        <f>#REF!*8.8%+#REF!</f>
        <v>#REF!</v>
      </c>
      <c r="H13" s="701" t="e">
        <f>#REF!*8.8%+#REF!</f>
        <v>#REF!</v>
      </c>
      <c r="I13" s="701" t="e">
        <f>#REF!*8.8%+#REF!</f>
        <v>#REF!</v>
      </c>
      <c r="J13" s="701" t="e">
        <f>#REF!*8.8%+#REF!</f>
        <v>#REF!</v>
      </c>
      <c r="K13" s="701" t="e">
        <f>#REF!*8.8%+#REF!</f>
        <v>#REF!</v>
      </c>
      <c r="L13" s="701" t="e">
        <f>#REF!*8.8%+#REF!</f>
        <v>#REF!</v>
      </c>
      <c r="M13" s="701" t="e">
        <f>#REF!*8.8%+#REF!</f>
        <v>#REF!</v>
      </c>
      <c r="N13" s="701" t="e">
        <f>#REF!*8.8%+#REF!</f>
        <v>#REF!</v>
      </c>
      <c r="O13" s="700" t="e">
        <f>#REF!*8.8%+#REF!</f>
        <v>#REF!</v>
      </c>
      <c r="P13" s="700" t="e">
        <f>#REF!*8.8%+#REF!</f>
        <v>#REF!</v>
      </c>
      <c r="Q13" s="700" t="e">
        <f>#REF!*8.8%+#REF!</f>
        <v>#REF!</v>
      </c>
      <c r="R13" s="700" t="e">
        <f>#REF!*8.8%+#REF!</f>
        <v>#REF!</v>
      </c>
      <c r="S13" s="700" t="e">
        <f>#REF!*8.8%+#REF!</f>
        <v>#REF!</v>
      </c>
      <c r="T13" s="700" t="e">
        <f>#REF!*8.8%+#REF!</f>
        <v>#REF!</v>
      </c>
      <c r="U13" s="700" t="e">
        <f>#REF!*8.8%+#REF!</f>
        <v>#REF!</v>
      </c>
      <c r="V13" s="700" t="e">
        <f>#REF!*8.8%+#REF!</f>
        <v>#REF!</v>
      </c>
      <c r="W13" s="700" t="e">
        <f>#REF!*8.8%+#REF!</f>
        <v>#REF!</v>
      </c>
      <c r="X13" s="700" t="e">
        <f>#REF!*8.8%+#REF!</f>
        <v>#REF!</v>
      </c>
      <c r="Y13" s="700" t="e">
        <f>#REF!*8.8%+#REF!</f>
        <v>#REF!</v>
      </c>
      <c r="Z13" s="724" t="e">
        <f>#REF!*8.8%+#REF!</f>
        <v>#REF!</v>
      </c>
    </row>
    <row r="14" spans="1:26" ht="20.25" customHeight="1" thickBot="1">
      <c r="A14" s="725" t="s">
        <v>10</v>
      </c>
      <c r="B14" s="726" t="s">
        <v>7</v>
      </c>
      <c r="C14" s="735" t="e">
        <f>#REF!*8.8%+#REF!</f>
        <v>#REF!</v>
      </c>
      <c r="D14" s="735" t="e">
        <f>#REF!*8.8%+#REF!</f>
        <v>#REF!</v>
      </c>
      <c r="E14" s="735" t="e">
        <f>#REF!*8.8%+#REF!</f>
        <v>#REF!</v>
      </c>
      <c r="F14" s="735" t="e">
        <f>#REF!*8.8%+#REF!</f>
        <v>#REF!</v>
      </c>
      <c r="G14" s="735" t="e">
        <f>#REF!*8.8%+#REF!</f>
        <v>#REF!</v>
      </c>
      <c r="H14" s="735" t="e">
        <f>#REF!*8.8%+#REF!</f>
        <v>#REF!</v>
      </c>
      <c r="I14" s="735" t="e">
        <f>#REF!*8.8%+#REF!</f>
        <v>#REF!</v>
      </c>
      <c r="J14" s="735" t="e">
        <f>#REF!*8.8%+#REF!</f>
        <v>#REF!</v>
      </c>
      <c r="K14" s="735" t="e">
        <f>#REF!*8.8%+#REF!</f>
        <v>#REF!</v>
      </c>
      <c r="L14" s="735" t="e">
        <f>#REF!*8.8%+#REF!</f>
        <v>#REF!</v>
      </c>
      <c r="M14" s="735" t="e">
        <f>#REF!*8.8%+#REF!</f>
        <v>#REF!</v>
      </c>
      <c r="N14" s="735" t="e">
        <f>#REF!*8.8%+#REF!</f>
        <v>#REF!</v>
      </c>
      <c r="O14" s="727" t="e">
        <f>#REF!*8.8%+#REF!</f>
        <v>#REF!</v>
      </c>
      <c r="P14" s="727" t="e">
        <f>#REF!*8.8%+#REF!</f>
        <v>#REF!</v>
      </c>
      <c r="Q14" s="727" t="e">
        <f>#REF!*8.8%+#REF!</f>
        <v>#REF!</v>
      </c>
      <c r="R14" s="727" t="e">
        <f>#REF!*8.8%+#REF!</f>
        <v>#REF!</v>
      </c>
      <c r="S14" s="727" t="e">
        <f>#REF!*8.8%+#REF!</f>
        <v>#REF!</v>
      </c>
      <c r="T14" s="727" t="e">
        <f>#REF!*8.8%+#REF!</f>
        <v>#REF!</v>
      </c>
      <c r="U14" s="727" t="e">
        <f>#REF!*8.8%+#REF!</f>
        <v>#REF!</v>
      </c>
      <c r="V14" s="727" t="e">
        <f>#REF!*8.8%+#REF!</f>
        <v>#REF!</v>
      </c>
      <c r="W14" s="727" t="e">
        <f>#REF!*8.8%+#REF!</f>
        <v>#REF!</v>
      </c>
      <c r="X14" s="727" t="e">
        <f>#REF!*8.8%+#REF!</f>
        <v>#REF!</v>
      </c>
      <c r="Y14" s="727" t="e">
        <f>#REF!*8.8%+#REF!</f>
        <v>#REF!</v>
      </c>
      <c r="Z14" s="728" t="e">
        <f>#REF!*8.8%+#REF!</f>
        <v>#REF!</v>
      </c>
    </row>
    <row r="15" spans="1:26">
      <c r="C15" s="734"/>
      <c r="D15" s="734"/>
      <c r="E15" s="734"/>
      <c r="F15" s="734"/>
      <c r="G15" s="734"/>
      <c r="H15" s="734"/>
      <c r="I15" s="734"/>
      <c r="J15" s="734"/>
      <c r="K15" s="734"/>
      <c r="L15" s="734"/>
      <c r="M15" s="734"/>
      <c r="N15" s="734"/>
    </row>
    <row r="16" spans="1:26" s="328" customFormat="1" ht="15" hidden="1">
      <c r="A16" s="714" t="s">
        <v>340</v>
      </c>
      <c r="B16" s="715"/>
      <c r="C16" s="715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15"/>
      <c r="P16" s="715"/>
      <c r="Q16" s="715"/>
      <c r="R16" s="715"/>
      <c r="S16" s="715"/>
      <c r="T16" s="715"/>
      <c r="U16" s="715"/>
      <c r="V16" s="715"/>
      <c r="W16" s="715"/>
      <c r="X16" s="715"/>
      <c r="Y16" s="715"/>
      <c r="Z16" s="716"/>
    </row>
    <row r="17" spans="1:26" hidden="1">
      <c r="A17" s="836" t="s">
        <v>26</v>
      </c>
      <c r="B17" s="790"/>
      <c r="C17" s="793" t="s">
        <v>11</v>
      </c>
      <c r="D17" s="793"/>
      <c r="E17" s="793"/>
      <c r="F17" s="793"/>
      <c r="G17" s="793" t="s">
        <v>12</v>
      </c>
      <c r="H17" s="793"/>
      <c r="I17" s="793"/>
      <c r="J17" s="793"/>
      <c r="K17" s="788" t="s">
        <v>13</v>
      </c>
      <c r="L17" s="789"/>
      <c r="M17" s="789"/>
      <c r="N17" s="790"/>
      <c r="O17" s="788" t="s">
        <v>14</v>
      </c>
      <c r="P17" s="789"/>
      <c r="Q17" s="789"/>
      <c r="R17" s="790"/>
      <c r="S17" s="788" t="s">
        <v>15</v>
      </c>
      <c r="T17" s="789"/>
      <c r="U17" s="789"/>
      <c r="V17" s="790"/>
      <c r="W17" s="788" t="s">
        <v>16</v>
      </c>
      <c r="X17" s="789"/>
      <c r="Y17" s="789"/>
      <c r="Z17" s="835"/>
    </row>
    <row r="18" spans="1:26" hidden="1">
      <c r="A18" s="837"/>
      <c r="B18" s="792"/>
      <c r="C18" s="654" t="s">
        <v>2</v>
      </c>
      <c r="D18" s="654" t="s">
        <v>3</v>
      </c>
      <c r="E18" s="654" t="s">
        <v>4</v>
      </c>
      <c r="F18" s="654" t="s">
        <v>5</v>
      </c>
      <c r="G18" s="654" t="s">
        <v>2</v>
      </c>
      <c r="H18" s="654" t="s">
        <v>3</v>
      </c>
      <c r="I18" s="654" t="s">
        <v>4</v>
      </c>
      <c r="J18" s="654" t="s">
        <v>5</v>
      </c>
      <c r="K18" s="12" t="s">
        <v>2</v>
      </c>
      <c r="L18" s="12" t="s">
        <v>3</v>
      </c>
      <c r="M18" s="12" t="s">
        <v>4</v>
      </c>
      <c r="N18" s="12" t="s">
        <v>5</v>
      </c>
      <c r="O18" s="13" t="s">
        <v>2</v>
      </c>
      <c r="P18" s="13" t="s">
        <v>3</v>
      </c>
      <c r="Q18" s="13" t="s">
        <v>4</v>
      </c>
      <c r="R18" s="13" t="s">
        <v>5</v>
      </c>
      <c r="S18" s="12" t="s">
        <v>2</v>
      </c>
      <c r="T18" s="12" t="s">
        <v>3</v>
      </c>
      <c r="U18" s="12" t="s">
        <v>4</v>
      </c>
      <c r="V18" s="12" t="s">
        <v>5</v>
      </c>
      <c r="W18" s="13" t="s">
        <v>2</v>
      </c>
      <c r="X18" s="13" t="s">
        <v>3</v>
      </c>
      <c r="Y18" s="13" t="s">
        <v>4</v>
      </c>
      <c r="Z18" s="707" t="s">
        <v>5</v>
      </c>
    </row>
    <row r="19" spans="1:26" ht="19.5" hidden="1" customHeight="1">
      <c r="A19" s="717" t="s">
        <v>6</v>
      </c>
      <c r="B19" s="695" t="s">
        <v>7</v>
      </c>
      <c r="C19" s="702" t="e">
        <f>#REF!+#REF!*#REF!%</f>
        <v>#REF!</v>
      </c>
      <c r="D19" s="702" t="e">
        <f>#REF!+#REF!*#REF!%</f>
        <v>#REF!</v>
      </c>
      <c r="E19" s="702" t="e">
        <f>#REF!+#REF!*#REF!%</f>
        <v>#REF!</v>
      </c>
      <c r="F19" s="702" t="e">
        <f>#REF!+#REF!*#REF!%</f>
        <v>#REF!</v>
      </c>
      <c r="G19" s="702" t="e">
        <f>#REF!+#REF!*#REF!%</f>
        <v>#REF!</v>
      </c>
      <c r="H19" s="702" t="e">
        <f>#REF!+#REF!*#REF!%</f>
        <v>#REF!</v>
      </c>
      <c r="I19" s="702" t="e">
        <f>#REF!+#REF!*#REF!%</f>
        <v>#REF!</v>
      </c>
      <c r="J19" s="702" t="e">
        <f>#REF!+#REF!*#REF!%</f>
        <v>#REF!</v>
      </c>
      <c r="K19" s="702" t="e">
        <f>#REF!+#REF!*#REF!%</f>
        <v>#REF!</v>
      </c>
      <c r="L19" s="702" t="e">
        <f>#REF!+#REF!*#REF!%</f>
        <v>#REF!</v>
      </c>
      <c r="M19" s="702" t="e">
        <f>#REF!+#REF!*#REF!%</f>
        <v>#REF!</v>
      </c>
      <c r="N19" s="702" t="e">
        <f>#REF!+#REF!*#REF!%</f>
        <v>#REF!</v>
      </c>
      <c r="O19" s="702" t="e">
        <f>#REF!+#REF!*#REF!%</f>
        <v>#REF!</v>
      </c>
      <c r="P19" s="702" t="e">
        <f>#REF!+#REF!*#REF!%</f>
        <v>#REF!</v>
      </c>
      <c r="Q19" s="702" t="e">
        <f>#REF!+#REF!*#REF!%</f>
        <v>#REF!</v>
      </c>
      <c r="R19" s="702" t="e">
        <f>#REF!+#REF!*#REF!%</f>
        <v>#REF!</v>
      </c>
      <c r="S19" s="702" t="e">
        <f>#REF!+#REF!*#REF!%</f>
        <v>#REF!</v>
      </c>
      <c r="T19" s="702" t="e">
        <f>#REF!+#REF!*#REF!%</f>
        <v>#REF!</v>
      </c>
      <c r="U19" s="702" t="e">
        <f>#REF!+#REF!*#REF!%</f>
        <v>#REF!</v>
      </c>
      <c r="V19" s="702" t="e">
        <f>#REF!+#REF!*#REF!%</f>
        <v>#REF!</v>
      </c>
      <c r="W19" s="696" t="e">
        <f>факт2015!W5+факт2015!W5*#REF!%</f>
        <v>#REF!</v>
      </c>
      <c r="X19" s="696" t="e">
        <f>факт2015!X5+факт2015!X5*#REF!%</f>
        <v>#REF!</v>
      </c>
      <c r="Y19" s="696" t="e">
        <f>факт2015!Y5+факт2015!Y5*#REF!%</f>
        <v>#REF!</v>
      </c>
      <c r="Z19" s="718" t="e">
        <f>факт2015!Z5+факт2015!Z5*#REF!%</f>
        <v>#REF!</v>
      </c>
    </row>
    <row r="20" spans="1:26" ht="19.5" hidden="1" customHeight="1">
      <c r="A20" s="717" t="s">
        <v>8</v>
      </c>
      <c r="B20" s="695" t="s">
        <v>7</v>
      </c>
      <c r="C20" s="702" t="e">
        <f>#REF!+#REF!*#REF!%</f>
        <v>#REF!</v>
      </c>
      <c r="D20" s="702" t="e">
        <f>#REF!+#REF!*#REF!%</f>
        <v>#REF!</v>
      </c>
      <c r="E20" s="702" t="e">
        <f>#REF!+#REF!*#REF!%</f>
        <v>#REF!</v>
      </c>
      <c r="F20" s="702" t="e">
        <f>#REF!+#REF!*#REF!%</f>
        <v>#REF!</v>
      </c>
      <c r="G20" s="702" t="e">
        <f>#REF!+#REF!*#REF!%</f>
        <v>#REF!</v>
      </c>
      <c r="H20" s="702" t="e">
        <f>#REF!+#REF!*#REF!%</f>
        <v>#REF!</v>
      </c>
      <c r="I20" s="702" t="e">
        <f>#REF!+#REF!*#REF!%</f>
        <v>#REF!</v>
      </c>
      <c r="J20" s="702" t="e">
        <f>#REF!+#REF!*#REF!%</f>
        <v>#REF!</v>
      </c>
      <c r="K20" s="702" t="e">
        <f>#REF!+#REF!*#REF!%</f>
        <v>#REF!</v>
      </c>
      <c r="L20" s="702" t="e">
        <f>#REF!+#REF!*#REF!%</f>
        <v>#REF!</v>
      </c>
      <c r="M20" s="702" t="e">
        <f>#REF!+#REF!*#REF!%</f>
        <v>#REF!</v>
      </c>
      <c r="N20" s="702" t="e">
        <f>#REF!+#REF!*#REF!%</f>
        <v>#REF!</v>
      </c>
      <c r="O20" s="702" t="e">
        <f>#REF!+#REF!*#REF!%</f>
        <v>#REF!</v>
      </c>
      <c r="P20" s="702" t="e">
        <f>#REF!+#REF!*#REF!%</f>
        <v>#REF!</v>
      </c>
      <c r="Q20" s="702" t="e">
        <f>#REF!+#REF!*#REF!%</f>
        <v>#REF!</v>
      </c>
      <c r="R20" s="702" t="e">
        <f>#REF!+#REF!*#REF!%</f>
        <v>#REF!</v>
      </c>
      <c r="S20" s="702" t="e">
        <f>#REF!+#REF!*#REF!%</f>
        <v>#REF!</v>
      </c>
      <c r="T20" s="702" t="e">
        <f>#REF!+#REF!*#REF!%</f>
        <v>#REF!</v>
      </c>
      <c r="U20" s="702" t="e">
        <f>#REF!+#REF!*#REF!%</f>
        <v>#REF!</v>
      </c>
      <c r="V20" s="702" t="e">
        <f>#REF!+#REF!*#REF!%</f>
        <v>#REF!</v>
      </c>
      <c r="W20" s="696" t="e">
        <f>факт2015!W6+факт2015!W6*#REF!%</f>
        <v>#REF!</v>
      </c>
      <c r="X20" s="696" t="e">
        <f>факт2015!X6+факт2015!X6*#REF!%</f>
        <v>#REF!</v>
      </c>
      <c r="Y20" s="696" t="e">
        <f>факт2015!Y6+факт2015!Y6*#REF!%</f>
        <v>#REF!</v>
      </c>
      <c r="Z20" s="718" t="e">
        <f>факт2015!Z6+факт2015!Z6*#REF!%</f>
        <v>#REF!</v>
      </c>
    </row>
    <row r="21" spans="1:26" ht="19.5" hidden="1" customHeight="1">
      <c r="A21" s="717" t="s">
        <v>9</v>
      </c>
      <c r="B21" s="695" t="s">
        <v>7</v>
      </c>
      <c r="C21" s="702" t="e">
        <f>#REF!+#REF!*#REF!%</f>
        <v>#REF!</v>
      </c>
      <c r="D21" s="702" t="e">
        <f>#REF!+#REF!*#REF!%</f>
        <v>#REF!</v>
      </c>
      <c r="E21" s="702" t="e">
        <f>#REF!+#REF!*#REF!%</f>
        <v>#REF!</v>
      </c>
      <c r="F21" s="702" t="e">
        <f>#REF!+#REF!*#REF!%</f>
        <v>#REF!</v>
      </c>
      <c r="G21" s="702" t="e">
        <f>#REF!+#REF!*#REF!%</f>
        <v>#REF!</v>
      </c>
      <c r="H21" s="702" t="e">
        <f>#REF!+#REF!*#REF!%</f>
        <v>#REF!</v>
      </c>
      <c r="I21" s="702" t="e">
        <f>#REF!+#REF!*#REF!%</f>
        <v>#REF!</v>
      </c>
      <c r="J21" s="702" t="e">
        <f>#REF!+#REF!*#REF!%</f>
        <v>#REF!</v>
      </c>
      <c r="K21" s="702" t="e">
        <f>#REF!+#REF!*#REF!%</f>
        <v>#REF!</v>
      </c>
      <c r="L21" s="702" t="e">
        <f>#REF!+#REF!*#REF!%</f>
        <v>#REF!</v>
      </c>
      <c r="M21" s="702" t="e">
        <f>#REF!+#REF!*#REF!%</f>
        <v>#REF!</v>
      </c>
      <c r="N21" s="702" t="e">
        <f>#REF!+#REF!*#REF!%</f>
        <v>#REF!</v>
      </c>
      <c r="O21" s="702" t="e">
        <f>#REF!+#REF!*#REF!%</f>
        <v>#REF!</v>
      </c>
      <c r="P21" s="702" t="e">
        <f>#REF!+#REF!*#REF!%</f>
        <v>#REF!</v>
      </c>
      <c r="Q21" s="702" t="e">
        <f>#REF!+#REF!*#REF!%</f>
        <v>#REF!</v>
      </c>
      <c r="R21" s="702" t="e">
        <f>#REF!+#REF!*#REF!%</f>
        <v>#REF!</v>
      </c>
      <c r="S21" s="702" t="e">
        <f>#REF!+#REF!*#REF!%</f>
        <v>#REF!</v>
      </c>
      <c r="T21" s="702" t="e">
        <f>#REF!+#REF!*#REF!%</f>
        <v>#REF!</v>
      </c>
      <c r="U21" s="702" t="e">
        <f>#REF!+#REF!*#REF!%</f>
        <v>#REF!</v>
      </c>
      <c r="V21" s="702" t="e">
        <f>#REF!+#REF!*#REF!%</f>
        <v>#REF!</v>
      </c>
      <c r="W21" s="696" t="e">
        <f>факт2015!W7+факт2015!W7*#REF!%</f>
        <v>#REF!</v>
      </c>
      <c r="X21" s="696" t="e">
        <f>факт2015!X7+факт2015!X7*#REF!%</f>
        <v>#REF!</v>
      </c>
      <c r="Y21" s="696" t="e">
        <f>факт2015!Y7+факт2015!Y7*#REF!%</f>
        <v>#REF!</v>
      </c>
      <c r="Z21" s="718" t="e">
        <f>факт2015!Z7+факт2015!Z7*#REF!%</f>
        <v>#REF!</v>
      </c>
    </row>
    <row r="22" spans="1:26" ht="19.5" hidden="1" customHeight="1">
      <c r="A22" s="717" t="s">
        <v>10</v>
      </c>
      <c r="B22" s="695" t="s">
        <v>7</v>
      </c>
      <c r="C22" s="702" t="e">
        <f>#REF!+#REF!*#REF!%</f>
        <v>#REF!</v>
      </c>
      <c r="D22" s="702" t="e">
        <f>#REF!+#REF!*#REF!%</f>
        <v>#REF!</v>
      </c>
      <c r="E22" s="702" t="e">
        <f>#REF!+#REF!*#REF!%</f>
        <v>#REF!</v>
      </c>
      <c r="F22" s="702" t="e">
        <f>#REF!+#REF!*#REF!%</f>
        <v>#REF!</v>
      </c>
      <c r="G22" s="702" t="e">
        <f>#REF!+#REF!*#REF!%</f>
        <v>#REF!</v>
      </c>
      <c r="H22" s="702" t="e">
        <f>#REF!+#REF!*#REF!%</f>
        <v>#REF!</v>
      </c>
      <c r="I22" s="702" t="e">
        <f>#REF!+#REF!*#REF!%</f>
        <v>#REF!</v>
      </c>
      <c r="J22" s="702" t="e">
        <f>#REF!+#REF!*#REF!%</f>
        <v>#REF!</v>
      </c>
      <c r="K22" s="702" t="e">
        <f>#REF!+#REF!*#REF!%</f>
        <v>#REF!</v>
      </c>
      <c r="L22" s="702" t="e">
        <f>#REF!+#REF!*#REF!%</f>
        <v>#REF!</v>
      </c>
      <c r="M22" s="702" t="e">
        <f>#REF!+#REF!*#REF!%</f>
        <v>#REF!</v>
      </c>
      <c r="N22" s="702" t="e">
        <f>#REF!+#REF!*#REF!%</f>
        <v>#REF!</v>
      </c>
      <c r="O22" s="702" t="e">
        <f>#REF!+#REF!*#REF!%</f>
        <v>#REF!</v>
      </c>
      <c r="P22" s="702" t="e">
        <f>#REF!+#REF!*#REF!%</f>
        <v>#REF!</v>
      </c>
      <c r="Q22" s="702" t="e">
        <f>#REF!+#REF!*#REF!%</f>
        <v>#REF!</v>
      </c>
      <c r="R22" s="702" t="e">
        <f>#REF!+#REF!*#REF!%</f>
        <v>#REF!</v>
      </c>
      <c r="S22" s="702" t="e">
        <f>#REF!+#REF!*#REF!%</f>
        <v>#REF!</v>
      </c>
      <c r="T22" s="702" t="e">
        <f>#REF!+#REF!*#REF!%</f>
        <v>#REF!</v>
      </c>
      <c r="U22" s="702" t="e">
        <f>#REF!+#REF!*#REF!%</f>
        <v>#REF!</v>
      </c>
      <c r="V22" s="702" t="e">
        <f>#REF!+#REF!*#REF!%</f>
        <v>#REF!</v>
      </c>
      <c r="W22" s="696" t="e">
        <f>факт2015!W8+факт2015!W8*#REF!%</f>
        <v>#REF!</v>
      </c>
      <c r="X22" s="696" t="e">
        <f>факт2015!X8+факт2015!X8*#REF!%</f>
        <v>#REF!</v>
      </c>
      <c r="Y22" s="696" t="e">
        <f>факт2015!Y8+факт2015!Y8*#REF!%</f>
        <v>#REF!</v>
      </c>
      <c r="Z22" s="718" t="e">
        <f>факт2015!Z8+факт2015!Z8*#REF!%</f>
        <v>#REF!</v>
      </c>
    </row>
    <row r="23" spans="1:26" hidden="1">
      <c r="A23" s="836" t="s">
        <v>27</v>
      </c>
      <c r="B23" s="790"/>
      <c r="C23" s="793" t="s">
        <v>17</v>
      </c>
      <c r="D23" s="793"/>
      <c r="E23" s="793"/>
      <c r="F23" s="793"/>
      <c r="G23" s="793" t="s">
        <v>18</v>
      </c>
      <c r="H23" s="793"/>
      <c r="I23" s="793"/>
      <c r="J23" s="793"/>
      <c r="K23" s="793" t="s">
        <v>19</v>
      </c>
      <c r="L23" s="793"/>
      <c r="M23" s="793"/>
      <c r="N23" s="793"/>
      <c r="O23" s="793" t="s">
        <v>20</v>
      </c>
      <c r="P23" s="793"/>
      <c r="Q23" s="793"/>
      <c r="R23" s="793"/>
      <c r="S23" s="793" t="s">
        <v>21</v>
      </c>
      <c r="T23" s="793"/>
      <c r="U23" s="793"/>
      <c r="V23" s="793"/>
      <c r="W23" s="793" t="s">
        <v>22</v>
      </c>
      <c r="X23" s="793"/>
      <c r="Y23" s="793"/>
      <c r="Z23" s="838"/>
    </row>
    <row r="24" spans="1:26" hidden="1">
      <c r="A24" s="837"/>
      <c r="B24" s="792"/>
      <c r="C24" s="654" t="s">
        <v>2</v>
      </c>
      <c r="D24" s="654" t="s">
        <v>3</v>
      </c>
      <c r="E24" s="654" t="s">
        <v>4</v>
      </c>
      <c r="F24" s="654" t="s">
        <v>5</v>
      </c>
      <c r="G24" s="654" t="s">
        <v>2</v>
      </c>
      <c r="H24" s="654" t="s">
        <v>3</v>
      </c>
      <c r="I24" s="654" t="s">
        <v>4</v>
      </c>
      <c r="J24" s="654" t="s">
        <v>5</v>
      </c>
      <c r="K24" s="12" t="s">
        <v>2</v>
      </c>
      <c r="L24" s="12" t="s">
        <v>3</v>
      </c>
      <c r="M24" s="12" t="s">
        <v>4</v>
      </c>
      <c r="N24" s="12" t="s">
        <v>5</v>
      </c>
      <c r="O24" s="13" t="s">
        <v>2</v>
      </c>
      <c r="P24" s="13" t="s">
        <v>3</v>
      </c>
      <c r="Q24" s="13" t="s">
        <v>4</v>
      </c>
      <c r="R24" s="13" t="s">
        <v>5</v>
      </c>
      <c r="S24" s="12" t="s">
        <v>2</v>
      </c>
      <c r="T24" s="12" t="s">
        <v>3</v>
      </c>
      <c r="U24" s="12" t="s">
        <v>4</v>
      </c>
      <c r="V24" s="12" t="s">
        <v>5</v>
      </c>
      <c r="W24" s="13" t="s">
        <v>2</v>
      </c>
      <c r="X24" s="13" t="s">
        <v>3</v>
      </c>
      <c r="Y24" s="13" t="s">
        <v>4</v>
      </c>
      <c r="Z24" s="707" t="s">
        <v>5</v>
      </c>
    </row>
    <row r="25" spans="1:26" ht="18.75" hidden="1" customHeight="1">
      <c r="A25" s="717" t="s">
        <v>6</v>
      </c>
      <c r="B25" s="695" t="s">
        <v>7</v>
      </c>
      <c r="C25" s="696" t="e">
        <f>факт2015!C11+факт2015!C11*#REF!%</f>
        <v>#REF!</v>
      </c>
      <c r="D25" s="696" t="e">
        <f>факт2015!D11+факт2015!D11*#REF!%</f>
        <v>#REF!</v>
      </c>
      <c r="E25" s="696" t="e">
        <f>факт2015!E11+факт2015!E11*#REF!%</f>
        <v>#REF!</v>
      </c>
      <c r="F25" s="696" t="e">
        <f>факт2015!F11+факт2015!F11*#REF!%</f>
        <v>#REF!</v>
      </c>
      <c r="G25" s="696" t="e">
        <f>факт2015!G11+факт2015!G11*#REF!%</f>
        <v>#REF!</v>
      </c>
      <c r="H25" s="696" t="e">
        <f>факт2015!H11+факт2015!H11*#REF!%</f>
        <v>#REF!</v>
      </c>
      <c r="I25" s="696" t="e">
        <f>факт2015!I11+факт2015!I11*#REF!%</f>
        <v>#REF!</v>
      </c>
      <c r="J25" s="696" t="e">
        <f>факт2015!J11+факт2015!J11*#REF!%</f>
        <v>#REF!</v>
      </c>
      <c r="K25" s="696" t="e">
        <f>факт2015!K11+факт2015!K11*#REF!%</f>
        <v>#REF!</v>
      </c>
      <c r="L25" s="696" t="e">
        <f>факт2015!L11+факт2015!L11*#REF!%</f>
        <v>#REF!</v>
      </c>
      <c r="M25" s="696" t="e">
        <f>факт2015!M11+факт2015!M11*#REF!%</f>
        <v>#REF!</v>
      </c>
      <c r="N25" s="696" t="e">
        <f>факт2015!N11+факт2015!N11*#REF!%</f>
        <v>#REF!</v>
      </c>
      <c r="O25" s="696" t="e">
        <f>факт2015!O11+факт2015!O11*#REF!%</f>
        <v>#REF!</v>
      </c>
      <c r="P25" s="696" t="e">
        <f>факт2015!P11+факт2015!P11*#REF!%</f>
        <v>#REF!</v>
      </c>
      <c r="Q25" s="696" t="e">
        <f>факт2015!Q11+факт2015!Q11*#REF!%</f>
        <v>#REF!</v>
      </c>
      <c r="R25" s="696" t="e">
        <f>факт2015!R11+факт2015!R11*#REF!%</f>
        <v>#REF!</v>
      </c>
      <c r="S25" s="696" t="e">
        <f>факт2015!S11+факт2015!S11*#REF!%</f>
        <v>#REF!</v>
      </c>
      <c r="T25" s="696" t="e">
        <f>факт2015!T11+факт2015!T11*#REF!%</f>
        <v>#REF!</v>
      </c>
      <c r="U25" s="696" t="e">
        <f>факт2015!U11+факт2015!U11*#REF!%</f>
        <v>#REF!</v>
      </c>
      <c r="V25" s="696" t="e">
        <f>факт2015!V11+факт2015!V11*#REF!%</f>
        <v>#REF!</v>
      </c>
      <c r="W25" s="696" t="e">
        <f>факт2015!W11+факт2015!W11*#REF!%</f>
        <v>#REF!</v>
      </c>
      <c r="X25" s="696" t="e">
        <f>факт2015!X11+факт2015!X11*#REF!%</f>
        <v>#REF!</v>
      </c>
      <c r="Y25" s="696" t="e">
        <f>факт2015!Y11+факт2015!Y11*#REF!%</f>
        <v>#REF!</v>
      </c>
      <c r="Z25" s="718" t="e">
        <f>факт2015!Z11+факт2015!Z11*#REF!%</f>
        <v>#REF!</v>
      </c>
    </row>
    <row r="26" spans="1:26" ht="18.75" hidden="1" customHeight="1">
      <c r="A26" s="717" t="s">
        <v>8</v>
      </c>
      <c r="B26" s="695" t="s">
        <v>7</v>
      </c>
      <c r="C26" s="696" t="e">
        <f>факт2015!C12+факт2015!C12*#REF!%</f>
        <v>#REF!</v>
      </c>
      <c r="D26" s="696" t="e">
        <f>факт2015!D12+факт2015!D12*#REF!%</f>
        <v>#REF!</v>
      </c>
      <c r="E26" s="696" t="e">
        <f>факт2015!E12+факт2015!E12*#REF!%</f>
        <v>#REF!</v>
      </c>
      <c r="F26" s="696" t="e">
        <f>факт2015!F12+факт2015!F12*#REF!%</f>
        <v>#REF!</v>
      </c>
      <c r="G26" s="696" t="e">
        <f>факт2015!G12+факт2015!G12*#REF!%</f>
        <v>#REF!</v>
      </c>
      <c r="H26" s="696" t="e">
        <f>факт2015!H12+факт2015!H12*#REF!%</f>
        <v>#REF!</v>
      </c>
      <c r="I26" s="696" t="e">
        <f>факт2015!I12+факт2015!I12*#REF!%</f>
        <v>#REF!</v>
      </c>
      <c r="J26" s="696" t="e">
        <f>факт2015!J12+факт2015!J12*#REF!%</f>
        <v>#REF!</v>
      </c>
      <c r="K26" s="696" t="e">
        <f>факт2015!K12+факт2015!K12*#REF!%</f>
        <v>#REF!</v>
      </c>
      <c r="L26" s="696" t="e">
        <f>факт2015!L12+факт2015!L12*#REF!%</f>
        <v>#REF!</v>
      </c>
      <c r="M26" s="696" t="e">
        <f>факт2015!M12+факт2015!M12*#REF!%</f>
        <v>#REF!</v>
      </c>
      <c r="N26" s="696" t="e">
        <f>факт2015!N12+факт2015!N12*#REF!%</f>
        <v>#REF!</v>
      </c>
      <c r="O26" s="696" t="e">
        <f>факт2015!O12+факт2015!O12*#REF!%</f>
        <v>#REF!</v>
      </c>
      <c r="P26" s="696" t="e">
        <f>факт2015!P12+факт2015!P12*#REF!%</f>
        <v>#REF!</v>
      </c>
      <c r="Q26" s="696" t="e">
        <f>факт2015!Q12+факт2015!Q12*#REF!%</f>
        <v>#REF!</v>
      </c>
      <c r="R26" s="696" t="e">
        <f>факт2015!R12+факт2015!R12*#REF!%</f>
        <v>#REF!</v>
      </c>
      <c r="S26" s="696" t="e">
        <f>факт2015!S12+факт2015!S12*#REF!%</f>
        <v>#REF!</v>
      </c>
      <c r="T26" s="696" t="e">
        <f>факт2015!T12+факт2015!T12*#REF!%</f>
        <v>#REF!</v>
      </c>
      <c r="U26" s="696" t="e">
        <f>факт2015!U12+факт2015!U12*#REF!%</f>
        <v>#REF!</v>
      </c>
      <c r="V26" s="696" t="e">
        <f>факт2015!V12+факт2015!V12*#REF!%</f>
        <v>#REF!</v>
      </c>
      <c r="W26" s="696" t="e">
        <f>факт2015!W12+факт2015!W12*#REF!%</f>
        <v>#REF!</v>
      </c>
      <c r="X26" s="696" t="e">
        <f>факт2015!X12+факт2015!X12*#REF!%</f>
        <v>#REF!</v>
      </c>
      <c r="Y26" s="696" t="e">
        <f>факт2015!Y12+факт2015!Y12*#REF!%</f>
        <v>#REF!</v>
      </c>
      <c r="Z26" s="718" t="e">
        <f>факт2015!Z12+факт2015!Z12*#REF!%</f>
        <v>#REF!</v>
      </c>
    </row>
    <row r="27" spans="1:26" ht="18.75" hidden="1" customHeight="1">
      <c r="A27" s="717" t="s">
        <v>9</v>
      </c>
      <c r="B27" s="695" t="s">
        <v>7</v>
      </c>
      <c r="C27" s="696" t="e">
        <f>факт2015!C13+факт2015!C13*#REF!%</f>
        <v>#REF!</v>
      </c>
      <c r="D27" s="696" t="e">
        <f>факт2015!D13+факт2015!D13*#REF!%</f>
        <v>#REF!</v>
      </c>
      <c r="E27" s="696" t="e">
        <f>факт2015!E13+факт2015!E13*#REF!%</f>
        <v>#REF!</v>
      </c>
      <c r="F27" s="696" t="e">
        <f>факт2015!F13+факт2015!F13*#REF!%</f>
        <v>#REF!</v>
      </c>
      <c r="G27" s="696" t="e">
        <f>факт2015!G13+факт2015!G13*#REF!%</f>
        <v>#REF!</v>
      </c>
      <c r="H27" s="696" t="e">
        <f>факт2015!H13+факт2015!H13*#REF!%</f>
        <v>#REF!</v>
      </c>
      <c r="I27" s="696" t="e">
        <f>факт2015!I13+факт2015!I13*#REF!%</f>
        <v>#REF!</v>
      </c>
      <c r="J27" s="696" t="e">
        <f>факт2015!J13+факт2015!J13*#REF!%</f>
        <v>#REF!</v>
      </c>
      <c r="K27" s="696" t="e">
        <f>факт2015!K13+факт2015!K13*#REF!%</f>
        <v>#REF!</v>
      </c>
      <c r="L27" s="696" t="e">
        <f>факт2015!L13+факт2015!L13*#REF!%</f>
        <v>#REF!</v>
      </c>
      <c r="M27" s="696" t="e">
        <f>факт2015!M13+факт2015!M13*#REF!%</f>
        <v>#REF!</v>
      </c>
      <c r="N27" s="696" t="e">
        <f>факт2015!N13+факт2015!N13*#REF!%</f>
        <v>#REF!</v>
      </c>
      <c r="O27" s="696" t="e">
        <f>факт2015!O13+факт2015!O13*#REF!%</f>
        <v>#REF!</v>
      </c>
      <c r="P27" s="696" t="e">
        <f>факт2015!P13+факт2015!P13*#REF!%</f>
        <v>#REF!</v>
      </c>
      <c r="Q27" s="696" t="e">
        <f>факт2015!Q13+факт2015!Q13*#REF!%</f>
        <v>#REF!</v>
      </c>
      <c r="R27" s="696" t="e">
        <f>факт2015!R13+факт2015!R13*#REF!%</f>
        <v>#REF!</v>
      </c>
      <c r="S27" s="696" t="e">
        <f>факт2015!S13+факт2015!S13*#REF!%</f>
        <v>#REF!</v>
      </c>
      <c r="T27" s="696" t="e">
        <f>факт2015!T13+факт2015!T13*#REF!%</f>
        <v>#REF!</v>
      </c>
      <c r="U27" s="696" t="e">
        <f>факт2015!U13+факт2015!U13*#REF!%</f>
        <v>#REF!</v>
      </c>
      <c r="V27" s="696" t="e">
        <f>факт2015!V13+факт2015!V13*#REF!%</f>
        <v>#REF!</v>
      </c>
      <c r="W27" s="696" t="e">
        <f>факт2015!W13+факт2015!W13*#REF!%</f>
        <v>#REF!</v>
      </c>
      <c r="X27" s="696" t="e">
        <f>факт2015!X13+факт2015!X13*#REF!%</f>
        <v>#REF!</v>
      </c>
      <c r="Y27" s="696" t="e">
        <f>факт2015!Y13+факт2015!Y13*#REF!%</f>
        <v>#REF!</v>
      </c>
      <c r="Z27" s="718" t="e">
        <f>факт2015!Z13+факт2015!Z13*#REF!%</f>
        <v>#REF!</v>
      </c>
    </row>
    <row r="28" spans="1:26" ht="18.75" hidden="1" customHeight="1" thickBot="1">
      <c r="A28" s="719" t="s">
        <v>10</v>
      </c>
      <c r="B28" s="720" t="s">
        <v>7</v>
      </c>
      <c r="C28" s="721" t="e">
        <f>факт2015!C14+факт2015!C14*#REF!%</f>
        <v>#REF!</v>
      </c>
      <c r="D28" s="721" t="e">
        <f>факт2015!D14+факт2015!D14*#REF!%</f>
        <v>#REF!</v>
      </c>
      <c r="E28" s="721" t="e">
        <f>факт2015!E14+факт2015!E14*#REF!%</f>
        <v>#REF!</v>
      </c>
      <c r="F28" s="721" t="e">
        <f>факт2015!F14+факт2015!F14*#REF!%</f>
        <v>#REF!</v>
      </c>
      <c r="G28" s="721" t="e">
        <f>факт2015!G14+факт2015!G14*#REF!%</f>
        <v>#REF!</v>
      </c>
      <c r="H28" s="721" t="e">
        <f>факт2015!H14+факт2015!H14*#REF!%</f>
        <v>#REF!</v>
      </c>
      <c r="I28" s="721" t="e">
        <f>факт2015!I14+факт2015!I14*#REF!%</f>
        <v>#REF!</v>
      </c>
      <c r="J28" s="721" t="e">
        <f>факт2015!J14+факт2015!J14*#REF!%</f>
        <v>#REF!</v>
      </c>
      <c r="K28" s="721" t="e">
        <f>факт2015!K14+факт2015!K14*#REF!%</f>
        <v>#REF!</v>
      </c>
      <c r="L28" s="721" t="e">
        <f>факт2015!L14+факт2015!L14*#REF!%</f>
        <v>#REF!</v>
      </c>
      <c r="M28" s="721" t="e">
        <f>факт2015!M14+факт2015!M14*#REF!%</f>
        <v>#REF!</v>
      </c>
      <c r="N28" s="721" t="e">
        <f>факт2015!N14+факт2015!N14*#REF!%</f>
        <v>#REF!</v>
      </c>
      <c r="O28" s="721" t="e">
        <f>факт2015!O14+факт2015!O14*#REF!%</f>
        <v>#REF!</v>
      </c>
      <c r="P28" s="721" t="e">
        <f>факт2015!P14+факт2015!P14*#REF!%</f>
        <v>#REF!</v>
      </c>
      <c r="Q28" s="721" t="e">
        <f>факт2015!Q14+факт2015!Q14*#REF!%</f>
        <v>#REF!</v>
      </c>
      <c r="R28" s="721" t="e">
        <f>факт2015!R14+факт2015!R14*#REF!%</f>
        <v>#REF!</v>
      </c>
      <c r="S28" s="721" t="e">
        <f>факт2015!S14+факт2015!S14*#REF!%</f>
        <v>#REF!</v>
      </c>
      <c r="T28" s="721" t="e">
        <f>факт2015!T14+факт2015!T14*#REF!%</f>
        <v>#REF!</v>
      </c>
      <c r="U28" s="721" t="e">
        <f>факт2015!U14+факт2015!U14*#REF!%</f>
        <v>#REF!</v>
      </c>
      <c r="V28" s="721" t="e">
        <f>факт2015!V14+факт2015!V14*#REF!%</f>
        <v>#REF!</v>
      </c>
      <c r="W28" s="721" t="e">
        <f>факт2015!W14+факт2015!W14*#REF!%</f>
        <v>#REF!</v>
      </c>
      <c r="X28" s="721" t="e">
        <f>факт2015!X14+факт2015!X14*#REF!%</f>
        <v>#REF!</v>
      </c>
      <c r="Y28" s="721" t="e">
        <f>факт2015!Y14+факт2015!Y14*#REF!%</f>
        <v>#REF!</v>
      </c>
      <c r="Z28" s="722" t="e">
        <f>факт2015!Z14+факт2015!Z14*#REF!%</f>
        <v>#REF!</v>
      </c>
    </row>
    <row r="29" spans="1:26" s="732" customFormat="1" ht="23.25" hidden="1" customHeight="1" thickBot="1"/>
    <row r="30" spans="1:26" s="328" customFormat="1" ht="15" hidden="1">
      <c r="A30" s="704" t="s">
        <v>341</v>
      </c>
      <c r="B30" s="705"/>
      <c r="C30" s="705"/>
      <c r="D30" s="705"/>
      <c r="E30" s="705"/>
      <c r="F30" s="705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/>
      <c r="S30" s="705"/>
      <c r="T30" s="705"/>
      <c r="U30" s="705"/>
      <c r="V30" s="705"/>
      <c r="W30" s="705"/>
      <c r="X30" s="705"/>
      <c r="Y30" s="705"/>
      <c r="Z30" s="706"/>
    </row>
    <row r="31" spans="1:26" hidden="1">
      <c r="A31" s="836" t="s">
        <v>26</v>
      </c>
      <c r="B31" s="790"/>
      <c r="C31" s="793" t="s">
        <v>11</v>
      </c>
      <c r="D31" s="793"/>
      <c r="E31" s="793"/>
      <c r="F31" s="793"/>
      <c r="G31" s="793" t="s">
        <v>12</v>
      </c>
      <c r="H31" s="793"/>
      <c r="I31" s="793"/>
      <c r="J31" s="793"/>
      <c r="K31" s="788" t="s">
        <v>13</v>
      </c>
      <c r="L31" s="789"/>
      <c r="M31" s="789"/>
      <c r="N31" s="790"/>
      <c r="O31" s="788" t="s">
        <v>14</v>
      </c>
      <c r="P31" s="789"/>
      <c r="Q31" s="789"/>
      <c r="R31" s="790"/>
      <c r="S31" s="788" t="s">
        <v>15</v>
      </c>
      <c r="T31" s="789"/>
      <c r="U31" s="789"/>
      <c r="V31" s="790"/>
      <c r="W31" s="788" t="s">
        <v>16</v>
      </c>
      <c r="X31" s="789"/>
      <c r="Y31" s="789"/>
      <c r="Z31" s="835"/>
    </row>
    <row r="32" spans="1:26" hidden="1">
      <c r="A32" s="837"/>
      <c r="B32" s="792"/>
      <c r="C32" s="654" t="s">
        <v>2</v>
      </c>
      <c r="D32" s="654" t="s">
        <v>3</v>
      </c>
      <c r="E32" s="654" t="s">
        <v>4</v>
      </c>
      <c r="F32" s="654" t="s">
        <v>5</v>
      </c>
      <c r="G32" s="654" t="s">
        <v>2</v>
      </c>
      <c r="H32" s="654" t="s">
        <v>3</v>
      </c>
      <c r="I32" s="654" t="s">
        <v>4</v>
      </c>
      <c r="J32" s="654" t="s">
        <v>5</v>
      </c>
      <c r="K32" s="12" t="s">
        <v>2</v>
      </c>
      <c r="L32" s="12" t="s">
        <v>3</v>
      </c>
      <c r="M32" s="12" t="s">
        <v>4</v>
      </c>
      <c r="N32" s="12" t="s">
        <v>5</v>
      </c>
      <c r="O32" s="13" t="s">
        <v>2</v>
      </c>
      <c r="P32" s="13" t="s">
        <v>3</v>
      </c>
      <c r="Q32" s="13" t="s">
        <v>4</v>
      </c>
      <c r="R32" s="13" t="s">
        <v>5</v>
      </c>
      <c r="S32" s="12" t="s">
        <v>2</v>
      </c>
      <c r="T32" s="12" t="s">
        <v>3</v>
      </c>
      <c r="U32" s="12" t="s">
        <v>4</v>
      </c>
      <c r="V32" s="12" t="s">
        <v>5</v>
      </c>
      <c r="W32" s="13" t="s">
        <v>2</v>
      </c>
      <c r="X32" s="13" t="s">
        <v>3</v>
      </c>
      <c r="Y32" s="13" t="s">
        <v>4</v>
      </c>
      <c r="Z32" s="707" t="s">
        <v>5</v>
      </c>
    </row>
    <row r="33" spans="1:26" ht="21.75" hidden="1" customHeight="1">
      <c r="A33" s="708" t="s">
        <v>6</v>
      </c>
      <c r="B33" s="697" t="s">
        <v>7</v>
      </c>
      <c r="C33" s="703" t="e">
        <f>#REF!+#REF!*#REF!%</f>
        <v>#REF!</v>
      </c>
      <c r="D33" s="703" t="e">
        <f>#REF!+#REF!*#REF!%</f>
        <v>#REF!</v>
      </c>
      <c r="E33" s="703" t="e">
        <f>#REF!+#REF!*#REF!%</f>
        <v>#REF!</v>
      </c>
      <c r="F33" s="703" t="e">
        <f>#REF!+#REF!*#REF!%</f>
        <v>#REF!</v>
      </c>
      <c r="G33" s="703" t="e">
        <f>#REF!+#REF!*#REF!%</f>
        <v>#REF!</v>
      </c>
      <c r="H33" s="703" t="e">
        <f>#REF!+#REF!*#REF!%</f>
        <v>#REF!</v>
      </c>
      <c r="I33" s="703" t="e">
        <f>#REF!+#REF!*#REF!%</f>
        <v>#REF!</v>
      </c>
      <c r="J33" s="703" t="e">
        <f>#REF!+#REF!*#REF!%</f>
        <v>#REF!</v>
      </c>
      <c r="K33" s="703" t="e">
        <f>#REF!+#REF!*#REF!%</f>
        <v>#REF!</v>
      </c>
      <c r="L33" s="703" t="e">
        <f>#REF!+#REF!*#REF!%</f>
        <v>#REF!</v>
      </c>
      <c r="M33" s="703" t="e">
        <f>#REF!+#REF!*#REF!%</f>
        <v>#REF!</v>
      </c>
      <c r="N33" s="703" t="e">
        <f>#REF!+#REF!*#REF!%</f>
        <v>#REF!</v>
      </c>
      <c r="O33" s="703" t="e">
        <f>#REF!+#REF!*#REF!%</f>
        <v>#REF!</v>
      </c>
      <c r="P33" s="703" t="e">
        <f>#REF!+#REF!*#REF!%</f>
        <v>#REF!</v>
      </c>
      <c r="Q33" s="703" t="e">
        <f>#REF!+#REF!*#REF!%</f>
        <v>#REF!</v>
      </c>
      <c r="R33" s="703" t="e">
        <f>#REF!+#REF!*#REF!%</f>
        <v>#REF!</v>
      </c>
      <c r="S33" s="703" t="e">
        <f>#REF!+#REF!*#REF!%</f>
        <v>#REF!</v>
      </c>
      <c r="T33" s="703" t="e">
        <f>#REF!+#REF!*#REF!%</f>
        <v>#REF!</v>
      </c>
      <c r="U33" s="703" t="e">
        <f>#REF!+#REF!*#REF!%</f>
        <v>#REF!</v>
      </c>
      <c r="V33" s="703" t="e">
        <f>#REF!+#REF!*#REF!%</f>
        <v>#REF!</v>
      </c>
      <c r="W33" s="698" t="e">
        <f>'прогноз 2016 МЭ'!W5+'прогноз 2016 МЭ'!W5*#REF!%</f>
        <v>#REF!</v>
      </c>
      <c r="X33" s="698" t="e">
        <f>'прогноз 2016 МЭ'!X5+'прогноз 2016 МЭ'!X5*#REF!%</f>
        <v>#REF!</v>
      </c>
      <c r="Y33" s="698" t="e">
        <f>'прогноз 2016 МЭ'!Y5+'прогноз 2016 МЭ'!Y5*#REF!%</f>
        <v>#REF!</v>
      </c>
      <c r="Z33" s="709" t="e">
        <f>'прогноз 2016 МЭ'!Z5+'прогноз 2016 МЭ'!Z5*#REF!%</f>
        <v>#REF!</v>
      </c>
    </row>
    <row r="34" spans="1:26" ht="21.75" hidden="1" customHeight="1">
      <c r="A34" s="708" t="s">
        <v>8</v>
      </c>
      <c r="B34" s="697" t="s">
        <v>7</v>
      </c>
      <c r="C34" s="703" t="e">
        <f>#REF!+#REF!*#REF!%</f>
        <v>#REF!</v>
      </c>
      <c r="D34" s="703" t="e">
        <f>#REF!+#REF!*#REF!%</f>
        <v>#REF!</v>
      </c>
      <c r="E34" s="703" t="e">
        <f>#REF!+#REF!*#REF!%</f>
        <v>#REF!</v>
      </c>
      <c r="F34" s="703" t="e">
        <f>#REF!+#REF!*#REF!%</f>
        <v>#REF!</v>
      </c>
      <c r="G34" s="703" t="e">
        <f>#REF!+#REF!*#REF!%</f>
        <v>#REF!</v>
      </c>
      <c r="H34" s="703" t="e">
        <f>#REF!+#REF!*#REF!%</f>
        <v>#REF!</v>
      </c>
      <c r="I34" s="703" t="e">
        <f>#REF!+#REF!*#REF!%</f>
        <v>#REF!</v>
      </c>
      <c r="J34" s="703" t="e">
        <f>#REF!+#REF!*#REF!%</f>
        <v>#REF!</v>
      </c>
      <c r="K34" s="703" t="e">
        <f>#REF!+#REF!*#REF!%</f>
        <v>#REF!</v>
      </c>
      <c r="L34" s="703" t="e">
        <f>#REF!+#REF!*#REF!%</f>
        <v>#REF!</v>
      </c>
      <c r="M34" s="703" t="e">
        <f>#REF!+#REF!*#REF!%</f>
        <v>#REF!</v>
      </c>
      <c r="N34" s="703" t="e">
        <f>#REF!+#REF!*#REF!%</f>
        <v>#REF!</v>
      </c>
      <c r="O34" s="703" t="e">
        <f>#REF!+#REF!*#REF!%</f>
        <v>#REF!</v>
      </c>
      <c r="P34" s="703" t="e">
        <f>#REF!+#REF!*#REF!%</f>
        <v>#REF!</v>
      </c>
      <c r="Q34" s="703" t="e">
        <f>#REF!+#REF!*#REF!%</f>
        <v>#REF!</v>
      </c>
      <c r="R34" s="703" t="e">
        <f>#REF!+#REF!*#REF!%</f>
        <v>#REF!</v>
      </c>
      <c r="S34" s="703" t="e">
        <f>#REF!+#REF!*#REF!%</f>
        <v>#REF!</v>
      </c>
      <c r="T34" s="703" t="e">
        <f>#REF!+#REF!*#REF!%</f>
        <v>#REF!</v>
      </c>
      <c r="U34" s="703" t="e">
        <f>#REF!+#REF!*#REF!%</f>
        <v>#REF!</v>
      </c>
      <c r="V34" s="703" t="e">
        <f>#REF!+#REF!*#REF!%</f>
        <v>#REF!</v>
      </c>
      <c r="W34" s="698" t="e">
        <f>'прогноз 2016 МЭ'!W6+'прогноз 2016 МЭ'!W6*#REF!%</f>
        <v>#REF!</v>
      </c>
      <c r="X34" s="698" t="e">
        <f>'прогноз 2016 МЭ'!X6+'прогноз 2016 МЭ'!X6*#REF!%</f>
        <v>#REF!</v>
      </c>
      <c r="Y34" s="698" t="e">
        <f>'прогноз 2016 МЭ'!Y6+'прогноз 2016 МЭ'!Y6*#REF!%</f>
        <v>#REF!</v>
      </c>
      <c r="Z34" s="709" t="e">
        <f>'прогноз 2016 МЭ'!Z6+'прогноз 2016 МЭ'!Z6*#REF!%</f>
        <v>#REF!</v>
      </c>
    </row>
    <row r="35" spans="1:26" ht="21.75" hidden="1" customHeight="1">
      <c r="A35" s="708" t="s">
        <v>9</v>
      </c>
      <c r="B35" s="697" t="s">
        <v>7</v>
      </c>
      <c r="C35" s="703" t="e">
        <f>#REF!+#REF!*#REF!%</f>
        <v>#REF!</v>
      </c>
      <c r="D35" s="703" t="e">
        <f>#REF!+#REF!*#REF!%</f>
        <v>#REF!</v>
      </c>
      <c r="E35" s="703" t="e">
        <f>#REF!+#REF!*#REF!%</f>
        <v>#REF!</v>
      </c>
      <c r="F35" s="703" t="e">
        <f>#REF!+#REF!*#REF!%</f>
        <v>#REF!</v>
      </c>
      <c r="G35" s="703" t="e">
        <f>#REF!+#REF!*#REF!%</f>
        <v>#REF!</v>
      </c>
      <c r="H35" s="703" t="e">
        <f>#REF!+#REF!*#REF!%</f>
        <v>#REF!</v>
      </c>
      <c r="I35" s="703" t="e">
        <f>#REF!+#REF!*#REF!%</f>
        <v>#REF!</v>
      </c>
      <c r="J35" s="703" t="e">
        <f>#REF!+#REF!*#REF!%</f>
        <v>#REF!</v>
      </c>
      <c r="K35" s="703" t="e">
        <f>#REF!+#REF!*#REF!%</f>
        <v>#REF!</v>
      </c>
      <c r="L35" s="703" t="e">
        <f>#REF!+#REF!*#REF!%</f>
        <v>#REF!</v>
      </c>
      <c r="M35" s="703" t="e">
        <f>#REF!+#REF!*#REF!%</f>
        <v>#REF!</v>
      </c>
      <c r="N35" s="703" t="e">
        <f>#REF!+#REF!*#REF!%</f>
        <v>#REF!</v>
      </c>
      <c r="O35" s="703" t="e">
        <f>#REF!+#REF!*#REF!%</f>
        <v>#REF!</v>
      </c>
      <c r="P35" s="703" t="e">
        <f>#REF!+#REF!*#REF!%</f>
        <v>#REF!</v>
      </c>
      <c r="Q35" s="703" t="e">
        <f>#REF!+#REF!*#REF!%</f>
        <v>#REF!</v>
      </c>
      <c r="R35" s="703" t="e">
        <f>#REF!+#REF!*#REF!%</f>
        <v>#REF!</v>
      </c>
      <c r="S35" s="703" t="e">
        <f>#REF!+#REF!*#REF!%</f>
        <v>#REF!</v>
      </c>
      <c r="T35" s="703" t="e">
        <f>#REF!+#REF!*#REF!%</f>
        <v>#REF!</v>
      </c>
      <c r="U35" s="703" t="e">
        <f>#REF!+#REF!*#REF!%</f>
        <v>#REF!</v>
      </c>
      <c r="V35" s="703" t="e">
        <f>#REF!+#REF!*#REF!%</f>
        <v>#REF!</v>
      </c>
      <c r="W35" s="698" t="e">
        <f>'прогноз 2016 МЭ'!W7+'прогноз 2016 МЭ'!W7*#REF!%</f>
        <v>#REF!</v>
      </c>
      <c r="X35" s="698" t="e">
        <f>'прогноз 2016 МЭ'!X7+'прогноз 2016 МЭ'!X7*#REF!%</f>
        <v>#REF!</v>
      </c>
      <c r="Y35" s="698" t="e">
        <f>'прогноз 2016 МЭ'!Y7+'прогноз 2016 МЭ'!Y7*#REF!%</f>
        <v>#REF!</v>
      </c>
      <c r="Z35" s="709" t="e">
        <f>'прогноз 2016 МЭ'!Z7+'прогноз 2016 МЭ'!Z7*#REF!%</f>
        <v>#REF!</v>
      </c>
    </row>
    <row r="36" spans="1:26" ht="21.75" hidden="1" customHeight="1">
      <c r="A36" s="708" t="s">
        <v>10</v>
      </c>
      <c r="B36" s="697" t="s">
        <v>7</v>
      </c>
      <c r="C36" s="703" t="e">
        <f>#REF!+#REF!*#REF!%</f>
        <v>#REF!</v>
      </c>
      <c r="D36" s="703" t="e">
        <f>#REF!+#REF!*#REF!%</f>
        <v>#REF!</v>
      </c>
      <c r="E36" s="703" t="e">
        <f>#REF!+#REF!*#REF!%</f>
        <v>#REF!</v>
      </c>
      <c r="F36" s="703" t="e">
        <f>#REF!+#REF!*#REF!%</f>
        <v>#REF!</v>
      </c>
      <c r="G36" s="703" t="e">
        <f>#REF!+#REF!*#REF!%</f>
        <v>#REF!</v>
      </c>
      <c r="H36" s="703" t="e">
        <f>#REF!+#REF!*#REF!%</f>
        <v>#REF!</v>
      </c>
      <c r="I36" s="703" t="e">
        <f>#REF!+#REF!*#REF!%</f>
        <v>#REF!</v>
      </c>
      <c r="J36" s="703" t="e">
        <f>#REF!+#REF!*#REF!%</f>
        <v>#REF!</v>
      </c>
      <c r="K36" s="703" t="e">
        <f>#REF!+#REF!*#REF!%</f>
        <v>#REF!</v>
      </c>
      <c r="L36" s="703" t="e">
        <f>#REF!+#REF!*#REF!%</f>
        <v>#REF!</v>
      </c>
      <c r="M36" s="703" t="e">
        <f>#REF!+#REF!*#REF!%</f>
        <v>#REF!</v>
      </c>
      <c r="N36" s="703" t="e">
        <f>#REF!+#REF!*#REF!%</f>
        <v>#REF!</v>
      </c>
      <c r="O36" s="703" t="e">
        <f>#REF!+#REF!*#REF!%</f>
        <v>#REF!</v>
      </c>
      <c r="P36" s="703" t="e">
        <f>#REF!+#REF!*#REF!%</f>
        <v>#REF!</v>
      </c>
      <c r="Q36" s="703" t="e">
        <f>#REF!+#REF!*#REF!%</f>
        <v>#REF!</v>
      </c>
      <c r="R36" s="703" t="e">
        <f>#REF!+#REF!*#REF!%</f>
        <v>#REF!</v>
      </c>
      <c r="S36" s="703" t="e">
        <f>#REF!+#REF!*#REF!%</f>
        <v>#REF!</v>
      </c>
      <c r="T36" s="703" t="e">
        <f>#REF!+#REF!*#REF!%</f>
        <v>#REF!</v>
      </c>
      <c r="U36" s="703" t="e">
        <f>#REF!+#REF!*#REF!%</f>
        <v>#REF!</v>
      </c>
      <c r="V36" s="703" t="e">
        <f>#REF!+#REF!*#REF!%</f>
        <v>#REF!</v>
      </c>
      <c r="W36" s="698" t="e">
        <f>'прогноз 2016 МЭ'!W8+'прогноз 2016 МЭ'!W8*#REF!%</f>
        <v>#REF!</v>
      </c>
      <c r="X36" s="698" t="e">
        <f>'прогноз 2016 МЭ'!X8+'прогноз 2016 МЭ'!X8*#REF!%</f>
        <v>#REF!</v>
      </c>
      <c r="Y36" s="698" t="e">
        <f>'прогноз 2016 МЭ'!Y8+'прогноз 2016 МЭ'!Y8*#REF!%</f>
        <v>#REF!</v>
      </c>
      <c r="Z36" s="709" t="e">
        <f>'прогноз 2016 МЭ'!Z8+'прогноз 2016 МЭ'!Z8*#REF!%</f>
        <v>#REF!</v>
      </c>
    </row>
    <row r="37" spans="1:26" hidden="1">
      <c r="A37" s="836" t="s">
        <v>27</v>
      </c>
      <c r="B37" s="790"/>
      <c r="C37" s="793" t="s">
        <v>17</v>
      </c>
      <c r="D37" s="793"/>
      <c r="E37" s="793"/>
      <c r="F37" s="793"/>
      <c r="G37" s="793" t="s">
        <v>18</v>
      </c>
      <c r="H37" s="793"/>
      <c r="I37" s="793"/>
      <c r="J37" s="793"/>
      <c r="K37" s="793" t="s">
        <v>19</v>
      </c>
      <c r="L37" s="793"/>
      <c r="M37" s="793"/>
      <c r="N37" s="793"/>
      <c r="O37" s="793" t="s">
        <v>20</v>
      </c>
      <c r="P37" s="793"/>
      <c r="Q37" s="793"/>
      <c r="R37" s="793"/>
      <c r="S37" s="793" t="s">
        <v>21</v>
      </c>
      <c r="T37" s="793"/>
      <c r="U37" s="793"/>
      <c r="V37" s="793"/>
      <c r="W37" s="793" t="s">
        <v>22</v>
      </c>
      <c r="X37" s="793"/>
      <c r="Y37" s="793"/>
      <c r="Z37" s="838"/>
    </row>
    <row r="38" spans="1:26" hidden="1">
      <c r="A38" s="837"/>
      <c r="B38" s="792"/>
      <c r="C38" s="654" t="s">
        <v>2</v>
      </c>
      <c r="D38" s="654" t="s">
        <v>3</v>
      </c>
      <c r="E38" s="654" t="s">
        <v>4</v>
      </c>
      <c r="F38" s="654" t="s">
        <v>5</v>
      </c>
      <c r="G38" s="654" t="s">
        <v>2</v>
      </c>
      <c r="H38" s="654" t="s">
        <v>3</v>
      </c>
      <c r="I38" s="654" t="s">
        <v>4</v>
      </c>
      <c r="J38" s="654" t="s">
        <v>5</v>
      </c>
      <c r="K38" s="12" t="s">
        <v>2</v>
      </c>
      <c r="L38" s="12" t="s">
        <v>3</v>
      </c>
      <c r="M38" s="12" t="s">
        <v>4</v>
      </c>
      <c r="N38" s="12" t="s">
        <v>5</v>
      </c>
      <c r="O38" s="13" t="s">
        <v>2</v>
      </c>
      <c r="P38" s="13" t="s">
        <v>3</v>
      </c>
      <c r="Q38" s="13" t="s">
        <v>4</v>
      </c>
      <c r="R38" s="13" t="s">
        <v>5</v>
      </c>
      <c r="S38" s="12" t="s">
        <v>2</v>
      </c>
      <c r="T38" s="12" t="s">
        <v>3</v>
      </c>
      <c r="U38" s="12" t="s">
        <v>4</v>
      </c>
      <c r="V38" s="12" t="s">
        <v>5</v>
      </c>
      <c r="W38" s="13" t="s">
        <v>2</v>
      </c>
      <c r="X38" s="13" t="s">
        <v>3</v>
      </c>
      <c r="Y38" s="13" t="s">
        <v>4</v>
      </c>
      <c r="Z38" s="707" t="s">
        <v>5</v>
      </c>
    </row>
    <row r="39" spans="1:26" ht="21" hidden="1" customHeight="1">
      <c r="A39" s="708" t="s">
        <v>6</v>
      </c>
      <c r="B39" s="697" t="s">
        <v>7</v>
      </c>
      <c r="C39" s="698" t="e">
        <f>'прогноз 2016 МЭ'!C11+'прогноз 2016 МЭ'!C11*#REF!%</f>
        <v>#REF!</v>
      </c>
      <c r="D39" s="698" t="e">
        <f>'прогноз 2016 МЭ'!D11+'прогноз 2016 МЭ'!D11*#REF!%</f>
        <v>#REF!</v>
      </c>
      <c r="E39" s="698" t="e">
        <f>'прогноз 2016 МЭ'!E11+'прогноз 2016 МЭ'!E11*#REF!%</f>
        <v>#REF!</v>
      </c>
      <c r="F39" s="698" t="e">
        <f>'прогноз 2016 МЭ'!F11+'прогноз 2016 МЭ'!F11*#REF!%</f>
        <v>#REF!</v>
      </c>
      <c r="G39" s="698" t="e">
        <f>'прогноз 2016 МЭ'!G11+'прогноз 2016 МЭ'!G11*#REF!%</f>
        <v>#REF!</v>
      </c>
      <c r="H39" s="698" t="e">
        <f>'прогноз 2016 МЭ'!H11+'прогноз 2016 МЭ'!H11*#REF!%</f>
        <v>#REF!</v>
      </c>
      <c r="I39" s="698" t="e">
        <f>'прогноз 2016 МЭ'!I11+'прогноз 2016 МЭ'!I11*#REF!%</f>
        <v>#REF!</v>
      </c>
      <c r="J39" s="698" t="e">
        <f>'прогноз 2016 МЭ'!J11+'прогноз 2016 МЭ'!J11*#REF!%</f>
        <v>#REF!</v>
      </c>
      <c r="K39" s="698" t="e">
        <f>'прогноз 2016 МЭ'!K11+'прогноз 2016 МЭ'!K11*#REF!%</f>
        <v>#REF!</v>
      </c>
      <c r="L39" s="698" t="e">
        <f>'прогноз 2016 МЭ'!L11+'прогноз 2016 МЭ'!L11*#REF!%</f>
        <v>#REF!</v>
      </c>
      <c r="M39" s="698" t="e">
        <f>'прогноз 2016 МЭ'!M11+'прогноз 2016 МЭ'!M11*#REF!%</f>
        <v>#REF!</v>
      </c>
      <c r="N39" s="698" t="e">
        <f>'прогноз 2016 МЭ'!N11+'прогноз 2016 МЭ'!N11*#REF!%</f>
        <v>#REF!</v>
      </c>
      <c r="O39" s="698" t="e">
        <f>'прогноз 2016 МЭ'!O11+'прогноз 2016 МЭ'!O11*#REF!%</f>
        <v>#REF!</v>
      </c>
      <c r="P39" s="698" t="e">
        <f>'прогноз 2016 МЭ'!P11+'прогноз 2016 МЭ'!P11*#REF!%</f>
        <v>#REF!</v>
      </c>
      <c r="Q39" s="698" t="e">
        <f>'прогноз 2016 МЭ'!Q11+'прогноз 2016 МЭ'!Q11*#REF!%</f>
        <v>#REF!</v>
      </c>
      <c r="R39" s="698" t="e">
        <f>'прогноз 2016 МЭ'!R11+'прогноз 2016 МЭ'!R11*#REF!%</f>
        <v>#REF!</v>
      </c>
      <c r="S39" s="698" t="e">
        <f>'прогноз 2016 МЭ'!S11+'прогноз 2016 МЭ'!S11*#REF!%</f>
        <v>#REF!</v>
      </c>
      <c r="T39" s="698" t="e">
        <f>'прогноз 2016 МЭ'!T11+'прогноз 2016 МЭ'!T11*#REF!%</f>
        <v>#REF!</v>
      </c>
      <c r="U39" s="698" t="e">
        <f>'прогноз 2016 МЭ'!U11+'прогноз 2016 МЭ'!U11*#REF!%</f>
        <v>#REF!</v>
      </c>
      <c r="V39" s="698" t="e">
        <f>'прогноз 2016 МЭ'!V11+'прогноз 2016 МЭ'!V11*#REF!%</f>
        <v>#REF!</v>
      </c>
      <c r="W39" s="698" t="e">
        <f>'прогноз 2016 МЭ'!W11+'прогноз 2016 МЭ'!W11*#REF!%</f>
        <v>#REF!</v>
      </c>
      <c r="X39" s="698" t="e">
        <f>'прогноз 2016 МЭ'!X11+'прогноз 2016 МЭ'!X11*#REF!%</f>
        <v>#REF!</v>
      </c>
      <c r="Y39" s="698" t="e">
        <f>'прогноз 2016 МЭ'!Y11+'прогноз 2016 МЭ'!Y11*#REF!%</f>
        <v>#REF!</v>
      </c>
      <c r="Z39" s="709" t="e">
        <f>'прогноз 2016 МЭ'!Z11+'прогноз 2016 МЭ'!Z11*#REF!%</f>
        <v>#REF!</v>
      </c>
    </row>
    <row r="40" spans="1:26" ht="21" hidden="1" customHeight="1">
      <c r="A40" s="708" t="s">
        <v>8</v>
      </c>
      <c r="B40" s="697" t="s">
        <v>7</v>
      </c>
      <c r="C40" s="698" t="e">
        <f>'прогноз 2016 МЭ'!C12+'прогноз 2016 МЭ'!C12*#REF!%</f>
        <v>#REF!</v>
      </c>
      <c r="D40" s="698" t="e">
        <f>'прогноз 2016 МЭ'!D12+'прогноз 2016 МЭ'!D12*#REF!%</f>
        <v>#REF!</v>
      </c>
      <c r="E40" s="698" t="e">
        <f>'прогноз 2016 МЭ'!E12+'прогноз 2016 МЭ'!E12*#REF!%</f>
        <v>#REF!</v>
      </c>
      <c r="F40" s="698" t="e">
        <f>'прогноз 2016 МЭ'!F12+'прогноз 2016 МЭ'!F12*#REF!%</f>
        <v>#REF!</v>
      </c>
      <c r="G40" s="698" t="e">
        <f>'прогноз 2016 МЭ'!G12+'прогноз 2016 МЭ'!G12*#REF!%</f>
        <v>#REF!</v>
      </c>
      <c r="H40" s="698" t="e">
        <f>'прогноз 2016 МЭ'!H12+'прогноз 2016 МЭ'!H12*#REF!%</f>
        <v>#REF!</v>
      </c>
      <c r="I40" s="698" t="e">
        <f>'прогноз 2016 МЭ'!I12+'прогноз 2016 МЭ'!I12*#REF!%</f>
        <v>#REF!</v>
      </c>
      <c r="J40" s="698" t="e">
        <f>'прогноз 2016 МЭ'!J12+'прогноз 2016 МЭ'!J12*#REF!%</f>
        <v>#REF!</v>
      </c>
      <c r="K40" s="698" t="e">
        <f>'прогноз 2016 МЭ'!K12+'прогноз 2016 МЭ'!K12*#REF!%</f>
        <v>#REF!</v>
      </c>
      <c r="L40" s="698" t="e">
        <f>'прогноз 2016 МЭ'!L12+'прогноз 2016 МЭ'!L12*#REF!%</f>
        <v>#REF!</v>
      </c>
      <c r="M40" s="698" t="e">
        <f>'прогноз 2016 МЭ'!M12+'прогноз 2016 МЭ'!M12*#REF!%</f>
        <v>#REF!</v>
      </c>
      <c r="N40" s="698" t="e">
        <f>'прогноз 2016 МЭ'!N12+'прогноз 2016 МЭ'!N12*#REF!%</f>
        <v>#REF!</v>
      </c>
      <c r="O40" s="698" t="e">
        <f>'прогноз 2016 МЭ'!O12+'прогноз 2016 МЭ'!O12*#REF!%</f>
        <v>#REF!</v>
      </c>
      <c r="P40" s="698" t="e">
        <f>'прогноз 2016 МЭ'!P12+'прогноз 2016 МЭ'!P12*#REF!%</f>
        <v>#REF!</v>
      </c>
      <c r="Q40" s="698" t="e">
        <f>'прогноз 2016 МЭ'!Q12+'прогноз 2016 МЭ'!Q12*#REF!%</f>
        <v>#REF!</v>
      </c>
      <c r="R40" s="698" t="e">
        <f>'прогноз 2016 МЭ'!R12+'прогноз 2016 МЭ'!R12*#REF!%</f>
        <v>#REF!</v>
      </c>
      <c r="S40" s="698" t="e">
        <f>'прогноз 2016 МЭ'!S12+'прогноз 2016 МЭ'!S12*#REF!%</f>
        <v>#REF!</v>
      </c>
      <c r="T40" s="698" t="e">
        <f>'прогноз 2016 МЭ'!T12+'прогноз 2016 МЭ'!T12*#REF!%</f>
        <v>#REF!</v>
      </c>
      <c r="U40" s="698" t="e">
        <f>'прогноз 2016 МЭ'!U12+'прогноз 2016 МЭ'!U12*#REF!%</f>
        <v>#REF!</v>
      </c>
      <c r="V40" s="698" t="e">
        <f>'прогноз 2016 МЭ'!V12+'прогноз 2016 МЭ'!V12*#REF!%</f>
        <v>#REF!</v>
      </c>
      <c r="W40" s="698" t="e">
        <f>'прогноз 2016 МЭ'!W12+'прогноз 2016 МЭ'!W12*#REF!%</f>
        <v>#REF!</v>
      </c>
      <c r="X40" s="698" t="e">
        <f>'прогноз 2016 МЭ'!X12+'прогноз 2016 МЭ'!X12*#REF!%</f>
        <v>#REF!</v>
      </c>
      <c r="Y40" s="698" t="e">
        <f>'прогноз 2016 МЭ'!Y12+'прогноз 2016 МЭ'!Y12*#REF!%</f>
        <v>#REF!</v>
      </c>
      <c r="Z40" s="709" t="e">
        <f>'прогноз 2016 МЭ'!Z12+'прогноз 2016 МЭ'!Z12*#REF!%</f>
        <v>#REF!</v>
      </c>
    </row>
    <row r="41" spans="1:26" ht="21" hidden="1" customHeight="1">
      <c r="A41" s="708" t="s">
        <v>9</v>
      </c>
      <c r="B41" s="697" t="s">
        <v>7</v>
      </c>
      <c r="C41" s="698" t="e">
        <f>'прогноз 2016 МЭ'!C13+'прогноз 2016 МЭ'!C13*#REF!%</f>
        <v>#REF!</v>
      </c>
      <c r="D41" s="698" t="e">
        <f>'прогноз 2016 МЭ'!D13+'прогноз 2016 МЭ'!D13*#REF!%</f>
        <v>#REF!</v>
      </c>
      <c r="E41" s="698" t="e">
        <f>'прогноз 2016 МЭ'!E13+'прогноз 2016 МЭ'!E13*#REF!%</f>
        <v>#REF!</v>
      </c>
      <c r="F41" s="698" t="e">
        <f>'прогноз 2016 МЭ'!F13+'прогноз 2016 МЭ'!F13*#REF!%</f>
        <v>#REF!</v>
      </c>
      <c r="G41" s="698" t="e">
        <f>'прогноз 2016 МЭ'!G13+'прогноз 2016 МЭ'!G13*#REF!%</f>
        <v>#REF!</v>
      </c>
      <c r="H41" s="698" t="e">
        <f>'прогноз 2016 МЭ'!H13+'прогноз 2016 МЭ'!H13*#REF!%</f>
        <v>#REF!</v>
      </c>
      <c r="I41" s="698" t="e">
        <f>'прогноз 2016 МЭ'!I13+'прогноз 2016 МЭ'!I13*#REF!%</f>
        <v>#REF!</v>
      </c>
      <c r="J41" s="698" t="e">
        <f>'прогноз 2016 МЭ'!J13+'прогноз 2016 МЭ'!J13*#REF!%</f>
        <v>#REF!</v>
      </c>
      <c r="K41" s="698" t="e">
        <f>'прогноз 2016 МЭ'!K13+'прогноз 2016 МЭ'!K13*#REF!%</f>
        <v>#REF!</v>
      </c>
      <c r="L41" s="698" t="e">
        <f>'прогноз 2016 МЭ'!L13+'прогноз 2016 МЭ'!L13*#REF!%</f>
        <v>#REF!</v>
      </c>
      <c r="M41" s="698" t="e">
        <f>'прогноз 2016 МЭ'!M13+'прогноз 2016 МЭ'!M13*#REF!%</f>
        <v>#REF!</v>
      </c>
      <c r="N41" s="698" t="e">
        <f>'прогноз 2016 МЭ'!N13+'прогноз 2016 МЭ'!N13*#REF!%</f>
        <v>#REF!</v>
      </c>
      <c r="O41" s="698" t="e">
        <f>'прогноз 2016 МЭ'!O13+'прогноз 2016 МЭ'!O13*#REF!%</f>
        <v>#REF!</v>
      </c>
      <c r="P41" s="698" t="e">
        <f>'прогноз 2016 МЭ'!P13+'прогноз 2016 МЭ'!P13*#REF!%</f>
        <v>#REF!</v>
      </c>
      <c r="Q41" s="698" t="e">
        <f>'прогноз 2016 МЭ'!Q13+'прогноз 2016 МЭ'!Q13*#REF!%</f>
        <v>#REF!</v>
      </c>
      <c r="R41" s="698" t="e">
        <f>'прогноз 2016 МЭ'!R13+'прогноз 2016 МЭ'!R13*#REF!%</f>
        <v>#REF!</v>
      </c>
      <c r="S41" s="698" t="e">
        <f>'прогноз 2016 МЭ'!S13+'прогноз 2016 МЭ'!S13*#REF!%</f>
        <v>#REF!</v>
      </c>
      <c r="T41" s="698" t="e">
        <f>'прогноз 2016 МЭ'!T13+'прогноз 2016 МЭ'!T13*#REF!%</f>
        <v>#REF!</v>
      </c>
      <c r="U41" s="698" t="e">
        <f>'прогноз 2016 МЭ'!U13+'прогноз 2016 МЭ'!U13*#REF!%</f>
        <v>#REF!</v>
      </c>
      <c r="V41" s="698" t="e">
        <f>'прогноз 2016 МЭ'!V13+'прогноз 2016 МЭ'!V13*#REF!%</f>
        <v>#REF!</v>
      </c>
      <c r="W41" s="698" t="e">
        <f>'прогноз 2016 МЭ'!W13+'прогноз 2016 МЭ'!W13*#REF!%</f>
        <v>#REF!</v>
      </c>
      <c r="X41" s="698" t="e">
        <f>'прогноз 2016 МЭ'!X13+'прогноз 2016 МЭ'!X13*#REF!%</f>
        <v>#REF!</v>
      </c>
      <c r="Y41" s="698" t="e">
        <f>'прогноз 2016 МЭ'!Y13+'прогноз 2016 МЭ'!Y13*#REF!%</f>
        <v>#REF!</v>
      </c>
      <c r="Z41" s="709" t="e">
        <f>'прогноз 2016 МЭ'!Z13+'прогноз 2016 МЭ'!Z13*#REF!%</f>
        <v>#REF!</v>
      </c>
    </row>
    <row r="42" spans="1:26" ht="21" hidden="1" customHeight="1" thickBot="1">
      <c r="A42" s="710" t="s">
        <v>10</v>
      </c>
      <c r="B42" s="711" t="s">
        <v>7</v>
      </c>
      <c r="C42" s="712" t="e">
        <f>'прогноз 2016 МЭ'!C14+'прогноз 2016 МЭ'!C14*#REF!%</f>
        <v>#REF!</v>
      </c>
      <c r="D42" s="712" t="e">
        <f>'прогноз 2016 МЭ'!D14+'прогноз 2016 МЭ'!D14*#REF!%</f>
        <v>#REF!</v>
      </c>
      <c r="E42" s="712" t="e">
        <f>'прогноз 2016 МЭ'!E14+'прогноз 2016 МЭ'!E14*#REF!%</f>
        <v>#REF!</v>
      </c>
      <c r="F42" s="712" t="e">
        <f>'прогноз 2016 МЭ'!F14+'прогноз 2016 МЭ'!F14*#REF!%</f>
        <v>#REF!</v>
      </c>
      <c r="G42" s="712" t="e">
        <f>'прогноз 2016 МЭ'!G14+'прогноз 2016 МЭ'!G14*#REF!%</f>
        <v>#REF!</v>
      </c>
      <c r="H42" s="712" t="e">
        <f>'прогноз 2016 МЭ'!H14+'прогноз 2016 МЭ'!H14*#REF!%</f>
        <v>#REF!</v>
      </c>
      <c r="I42" s="712" t="e">
        <f>'прогноз 2016 МЭ'!I14+'прогноз 2016 МЭ'!I14*#REF!%</f>
        <v>#REF!</v>
      </c>
      <c r="J42" s="712" t="e">
        <f>'прогноз 2016 МЭ'!J14+'прогноз 2016 МЭ'!J14*#REF!%</f>
        <v>#REF!</v>
      </c>
      <c r="K42" s="712" t="e">
        <f>'прогноз 2016 МЭ'!K14+'прогноз 2016 МЭ'!K14*#REF!%</f>
        <v>#REF!</v>
      </c>
      <c r="L42" s="712" t="e">
        <f>'прогноз 2016 МЭ'!L14+'прогноз 2016 МЭ'!L14*#REF!%</f>
        <v>#REF!</v>
      </c>
      <c r="M42" s="712" t="e">
        <f>'прогноз 2016 МЭ'!M14+'прогноз 2016 МЭ'!M14*#REF!%</f>
        <v>#REF!</v>
      </c>
      <c r="N42" s="712" t="e">
        <f>'прогноз 2016 МЭ'!N14+'прогноз 2016 МЭ'!N14*#REF!%</f>
        <v>#REF!</v>
      </c>
      <c r="O42" s="712" t="e">
        <f>'прогноз 2016 МЭ'!O14+'прогноз 2016 МЭ'!O14*#REF!%</f>
        <v>#REF!</v>
      </c>
      <c r="P42" s="712" t="e">
        <f>'прогноз 2016 МЭ'!P14+'прогноз 2016 МЭ'!P14*#REF!%</f>
        <v>#REF!</v>
      </c>
      <c r="Q42" s="712" t="e">
        <f>'прогноз 2016 МЭ'!Q14+'прогноз 2016 МЭ'!Q14*#REF!%</f>
        <v>#REF!</v>
      </c>
      <c r="R42" s="712" t="e">
        <f>'прогноз 2016 МЭ'!R14+'прогноз 2016 МЭ'!R14*#REF!%</f>
        <v>#REF!</v>
      </c>
      <c r="S42" s="712" t="e">
        <f>'прогноз 2016 МЭ'!S14+'прогноз 2016 МЭ'!S14*#REF!%</f>
        <v>#REF!</v>
      </c>
      <c r="T42" s="712" t="e">
        <f>'прогноз 2016 МЭ'!T14+'прогноз 2016 МЭ'!T14*#REF!%</f>
        <v>#REF!</v>
      </c>
      <c r="U42" s="712" t="e">
        <f>'прогноз 2016 МЭ'!U14+'прогноз 2016 МЭ'!U14*#REF!%</f>
        <v>#REF!</v>
      </c>
      <c r="V42" s="712" t="e">
        <f>'прогноз 2016 МЭ'!V14+'прогноз 2016 МЭ'!V14*#REF!%</f>
        <v>#REF!</v>
      </c>
      <c r="W42" s="712" t="e">
        <f>'прогноз 2016 МЭ'!W14+'прогноз 2016 МЭ'!W14*#REF!%</f>
        <v>#REF!</v>
      </c>
      <c r="X42" s="712" t="e">
        <f>'прогноз 2016 МЭ'!X14+'прогноз 2016 МЭ'!X14*#REF!%</f>
        <v>#REF!</v>
      </c>
      <c r="Y42" s="712" t="e">
        <f>'прогноз 2016 МЭ'!Y14+'прогноз 2016 МЭ'!Y14*#REF!%</f>
        <v>#REF!</v>
      </c>
      <c r="Z42" s="713" t="e">
        <f>'прогноз 2016 МЭ'!Z14+'прогноз 2016 МЭ'!Z14*#REF!%</f>
        <v>#REF!</v>
      </c>
    </row>
    <row r="43" spans="1:26" hidden="1">
      <c r="C43" s="651" t="e">
        <f t="shared" ref="C43:J44" si="0">C38/1000</f>
        <v>#VALUE!</v>
      </c>
      <c r="D43" s="651" t="e">
        <f t="shared" si="0"/>
        <v>#VALUE!</v>
      </c>
      <c r="E43" s="651" t="e">
        <f t="shared" si="0"/>
        <v>#VALUE!</v>
      </c>
      <c r="F43" s="651" t="e">
        <f t="shared" si="0"/>
        <v>#VALUE!</v>
      </c>
      <c r="G43" s="651" t="e">
        <f t="shared" si="0"/>
        <v>#VALUE!</v>
      </c>
      <c r="H43" s="651" t="e">
        <f t="shared" si="0"/>
        <v>#VALUE!</v>
      </c>
      <c r="I43" s="651" t="e">
        <f t="shared" si="0"/>
        <v>#VALUE!</v>
      </c>
      <c r="J43" s="651" t="e">
        <f t="shared" si="0"/>
        <v>#VALUE!</v>
      </c>
    </row>
    <row r="44" spans="1:26" hidden="1">
      <c r="C44" s="651" t="e">
        <f t="shared" si="0"/>
        <v>#REF!</v>
      </c>
      <c r="D44" s="651" t="e">
        <f t="shared" si="0"/>
        <v>#REF!</v>
      </c>
      <c r="E44" s="651" t="e">
        <f t="shared" si="0"/>
        <v>#REF!</v>
      </c>
      <c r="F44" s="651" t="e">
        <f>F39/1000</f>
        <v>#REF!</v>
      </c>
      <c r="G44" s="651" t="e">
        <f t="shared" si="0"/>
        <v>#REF!</v>
      </c>
      <c r="H44" s="651" t="e">
        <f t="shared" si="0"/>
        <v>#REF!</v>
      </c>
      <c r="I44" s="651" t="e">
        <f t="shared" si="0"/>
        <v>#REF!</v>
      </c>
      <c r="J44" s="651" t="e">
        <f t="shared" si="0"/>
        <v>#REF!</v>
      </c>
    </row>
    <row r="45" spans="1:26" hidden="1"/>
    <row r="46" spans="1:26" ht="22.5" customHeight="1">
      <c r="A46" s="10" t="s">
        <v>345</v>
      </c>
    </row>
    <row r="47" spans="1:26">
      <c r="A47" s="836" t="s">
        <v>26</v>
      </c>
      <c r="B47" s="790"/>
      <c r="C47" s="793" t="s">
        <v>11</v>
      </c>
      <c r="D47" s="793"/>
      <c r="E47" s="793"/>
      <c r="F47" s="793"/>
      <c r="G47" s="793" t="s">
        <v>12</v>
      </c>
      <c r="H47" s="793"/>
      <c r="I47" s="793"/>
      <c r="J47" s="793"/>
      <c r="K47" s="788" t="s">
        <v>13</v>
      </c>
      <c r="L47" s="789"/>
      <c r="M47" s="789"/>
      <c r="N47" s="790"/>
      <c r="O47" s="788" t="s">
        <v>14</v>
      </c>
      <c r="P47" s="789"/>
      <c r="Q47" s="789"/>
      <c r="R47" s="790"/>
      <c r="S47" s="788" t="s">
        <v>15</v>
      </c>
      <c r="T47" s="789"/>
      <c r="U47" s="789"/>
      <c r="V47" s="790"/>
      <c r="W47" s="788" t="s">
        <v>16</v>
      </c>
      <c r="X47" s="789"/>
      <c r="Y47" s="789"/>
      <c r="Z47" s="835"/>
    </row>
    <row r="48" spans="1:26">
      <c r="A48" s="837"/>
      <c r="B48" s="792"/>
      <c r="C48" s="733" t="s">
        <v>2</v>
      </c>
      <c r="D48" s="733" t="s">
        <v>3</v>
      </c>
      <c r="E48" s="733" t="s">
        <v>4</v>
      </c>
      <c r="F48" s="733" t="s">
        <v>5</v>
      </c>
      <c r="G48" s="733" t="s">
        <v>2</v>
      </c>
      <c r="H48" s="733" t="s">
        <v>3</v>
      </c>
      <c r="I48" s="733" t="s">
        <v>4</v>
      </c>
      <c r="J48" s="733" t="s">
        <v>5</v>
      </c>
      <c r="K48" s="12" t="s">
        <v>2</v>
      </c>
      <c r="L48" s="12" t="s">
        <v>3</v>
      </c>
      <c r="M48" s="12" t="s">
        <v>4</v>
      </c>
      <c r="N48" s="12" t="s">
        <v>5</v>
      </c>
      <c r="O48" s="13" t="s">
        <v>2</v>
      </c>
      <c r="P48" s="13" t="s">
        <v>3</v>
      </c>
      <c r="Q48" s="13" t="s">
        <v>4</v>
      </c>
      <c r="R48" s="13" t="s">
        <v>5</v>
      </c>
      <c r="S48" s="12" t="s">
        <v>2</v>
      </c>
      <c r="T48" s="12" t="s">
        <v>3</v>
      </c>
      <c r="U48" s="12" t="s">
        <v>4</v>
      </c>
      <c r="V48" s="12" t="s">
        <v>5</v>
      </c>
      <c r="W48" s="13" t="s">
        <v>2</v>
      </c>
      <c r="X48" s="13" t="s">
        <v>3</v>
      </c>
      <c r="Y48" s="13" t="s">
        <v>4</v>
      </c>
      <c r="Z48" s="707" t="s">
        <v>5</v>
      </c>
    </row>
    <row r="49" spans="1:26" ht="18.75" customHeight="1">
      <c r="A49" s="723" t="s">
        <v>6</v>
      </c>
      <c r="B49" s="699" t="s">
        <v>7</v>
      </c>
      <c r="C49" s="701">
        <v>2552.7543071500049</v>
      </c>
      <c r="D49" s="701">
        <v>2951.4743071500052</v>
      </c>
      <c r="E49" s="701">
        <v>3169.2043071500052</v>
      </c>
      <c r="F49" s="701">
        <v>3335.0743071500051</v>
      </c>
      <c r="G49" s="701">
        <v>2934.1326863789345</v>
      </c>
      <c r="H49" s="701">
        <v>3332.8526863789348</v>
      </c>
      <c r="I49" s="701">
        <v>3550.5826863789348</v>
      </c>
      <c r="J49" s="701">
        <v>3716.4526863789347</v>
      </c>
      <c r="K49" s="701">
        <v>2478.2545904195695</v>
      </c>
      <c r="L49" s="701">
        <v>2876.9745904195697</v>
      </c>
      <c r="M49" s="701">
        <v>3094.7045904195693</v>
      </c>
      <c r="N49" s="701">
        <v>3260.5745904195692</v>
      </c>
      <c r="O49" s="701">
        <v>2252.3215331938422</v>
      </c>
      <c r="P49" s="701">
        <v>2651.041533193842</v>
      </c>
      <c r="Q49" s="701">
        <v>2868.7715331938425</v>
      </c>
      <c r="R49" s="701">
        <v>3034.6415331938424</v>
      </c>
      <c r="S49" s="701">
        <v>1817.8253935996638</v>
      </c>
      <c r="T49" s="701">
        <v>2216.5453935996638</v>
      </c>
      <c r="U49" s="701">
        <v>2434.2753935996639</v>
      </c>
      <c r="V49" s="701">
        <v>2600.1453935996637</v>
      </c>
      <c r="W49" s="701">
        <v>1641.0899823941118</v>
      </c>
      <c r="X49" s="701">
        <v>2039.8099823941118</v>
      </c>
      <c r="Y49" s="701">
        <v>2257.5399823941116</v>
      </c>
      <c r="Z49" s="736">
        <v>2423.4099823941115</v>
      </c>
    </row>
    <row r="50" spans="1:26" ht="18.75" customHeight="1">
      <c r="A50" s="723" t="s">
        <v>8</v>
      </c>
      <c r="B50" s="699" t="s">
        <v>7</v>
      </c>
      <c r="C50" s="701">
        <v>2536.9843071500054</v>
      </c>
      <c r="D50" s="701">
        <v>2935.7043071500052</v>
      </c>
      <c r="E50" s="701">
        <v>3153.4343071500052</v>
      </c>
      <c r="F50" s="701">
        <v>3319.3043071500051</v>
      </c>
      <c r="G50" s="701">
        <v>2915.5326863789346</v>
      </c>
      <c r="H50" s="701">
        <v>3314.2526863789349</v>
      </c>
      <c r="I50" s="701">
        <v>3531.9826863789349</v>
      </c>
      <c r="J50" s="701">
        <v>3697.8526863789348</v>
      </c>
      <c r="K50" s="701">
        <v>2463.0345904195697</v>
      </c>
      <c r="L50" s="701">
        <v>2861.7545904195695</v>
      </c>
      <c r="M50" s="701">
        <v>3079.484590419569</v>
      </c>
      <c r="N50" s="701">
        <v>3245.3545904195689</v>
      </c>
      <c r="O50" s="701">
        <v>2238.7715331938421</v>
      </c>
      <c r="P50" s="701">
        <v>2637.4915331938419</v>
      </c>
      <c r="Q50" s="701">
        <v>2855.2215331938423</v>
      </c>
      <c r="R50" s="701">
        <v>3021.0915331938422</v>
      </c>
      <c r="S50" s="701">
        <v>1807.4853935996639</v>
      </c>
      <c r="T50" s="701">
        <v>2206.2053935996637</v>
      </c>
      <c r="U50" s="701">
        <v>2423.9353935996637</v>
      </c>
      <c r="V50" s="701">
        <v>2589.8053935996636</v>
      </c>
      <c r="W50" s="701">
        <v>1632.0699823941118</v>
      </c>
      <c r="X50" s="701">
        <v>2030.7899823941118</v>
      </c>
      <c r="Y50" s="701">
        <v>2248.5199823941116</v>
      </c>
      <c r="Z50" s="736">
        <v>2414.3899823941115</v>
      </c>
    </row>
    <row r="51" spans="1:26" ht="18.75" customHeight="1">
      <c r="A51" s="723" t="s">
        <v>9</v>
      </c>
      <c r="B51" s="699" t="s">
        <v>7</v>
      </c>
      <c r="C51" s="701">
        <v>2444.1343071500055</v>
      </c>
      <c r="D51" s="701">
        <v>2842.8543071500053</v>
      </c>
      <c r="E51" s="701">
        <v>3060.5843071500053</v>
      </c>
      <c r="F51" s="701">
        <v>3226.4543071500052</v>
      </c>
      <c r="G51" s="701">
        <v>2806.0826863789348</v>
      </c>
      <c r="H51" s="701">
        <v>3204.8026863789346</v>
      </c>
      <c r="I51" s="701">
        <v>3422.5326863789346</v>
      </c>
      <c r="J51" s="701">
        <v>3588.4026863789345</v>
      </c>
      <c r="K51" s="701">
        <v>2373.4345904195698</v>
      </c>
      <c r="L51" s="701">
        <v>2772.1545904195696</v>
      </c>
      <c r="M51" s="701">
        <v>2989.8845904195691</v>
      </c>
      <c r="N51" s="701">
        <v>3155.754590419569</v>
      </c>
      <c r="O51" s="701">
        <v>2159.0315331938423</v>
      </c>
      <c r="P51" s="701">
        <v>2557.7515331938421</v>
      </c>
      <c r="Q51" s="701">
        <v>2775.4815331938426</v>
      </c>
      <c r="R51" s="701">
        <v>2941.3515331938424</v>
      </c>
      <c r="S51" s="701">
        <v>1746.6753935996637</v>
      </c>
      <c r="T51" s="701">
        <v>2145.3953935996637</v>
      </c>
      <c r="U51" s="701">
        <v>2363.1253935996638</v>
      </c>
      <c r="V51" s="701">
        <v>2528.9953935996637</v>
      </c>
      <c r="W51" s="701">
        <v>1578.9399823941117</v>
      </c>
      <c r="X51" s="701">
        <v>1977.6599823941117</v>
      </c>
      <c r="Y51" s="701">
        <v>2195.3899823941119</v>
      </c>
      <c r="Z51" s="736">
        <v>2361.2599823941118</v>
      </c>
    </row>
    <row r="52" spans="1:26" ht="18.75" customHeight="1">
      <c r="A52" s="723" t="s">
        <v>10</v>
      </c>
      <c r="B52" s="699" t="s">
        <v>7</v>
      </c>
      <c r="C52" s="701">
        <v>2369.1143071500055</v>
      </c>
      <c r="D52" s="701">
        <v>2767.8343071500053</v>
      </c>
      <c r="E52" s="701">
        <v>2985.5643071500053</v>
      </c>
      <c r="F52" s="701">
        <v>3151.4343071500052</v>
      </c>
      <c r="G52" s="701">
        <v>2717.632686378935</v>
      </c>
      <c r="H52" s="701">
        <v>3116.3526863789348</v>
      </c>
      <c r="I52" s="701">
        <v>3334.0826863789348</v>
      </c>
      <c r="J52" s="701">
        <v>3499.9526863789347</v>
      </c>
      <c r="K52" s="701">
        <v>2301.0345904195692</v>
      </c>
      <c r="L52" s="701">
        <v>2699.7545904195695</v>
      </c>
      <c r="M52" s="701">
        <v>2917.484590419569</v>
      </c>
      <c r="N52" s="701">
        <v>3083.3545904195689</v>
      </c>
      <c r="O52" s="701">
        <v>2094.5915331938422</v>
      </c>
      <c r="P52" s="701">
        <v>2493.311533193842</v>
      </c>
      <c r="Q52" s="701">
        <v>2711.0415331938425</v>
      </c>
      <c r="R52" s="701">
        <v>2876.9115331938424</v>
      </c>
      <c r="S52" s="701">
        <v>1697.5253935996639</v>
      </c>
      <c r="T52" s="701">
        <v>2096.2453935996637</v>
      </c>
      <c r="U52" s="701">
        <v>2313.9753935996637</v>
      </c>
      <c r="V52" s="701">
        <v>2479.8453935996636</v>
      </c>
      <c r="W52" s="701">
        <v>1536.0199823941116</v>
      </c>
      <c r="X52" s="701">
        <v>1934.7399823941116</v>
      </c>
      <c r="Y52" s="701">
        <v>2152.4699823941119</v>
      </c>
      <c r="Z52" s="736">
        <v>2318.3399823941118</v>
      </c>
    </row>
    <row r="53" spans="1:26">
      <c r="A53" s="836" t="s">
        <v>27</v>
      </c>
      <c r="B53" s="790"/>
      <c r="C53" s="793" t="s">
        <v>17</v>
      </c>
      <c r="D53" s="793"/>
      <c r="E53" s="793"/>
      <c r="F53" s="793"/>
      <c r="G53" s="793" t="s">
        <v>18</v>
      </c>
      <c r="H53" s="793"/>
      <c r="I53" s="793"/>
      <c r="J53" s="793"/>
      <c r="K53" s="793" t="s">
        <v>19</v>
      </c>
      <c r="L53" s="793"/>
      <c r="M53" s="793"/>
      <c r="N53" s="793"/>
      <c r="O53" s="793" t="s">
        <v>20</v>
      </c>
      <c r="P53" s="793"/>
      <c r="Q53" s="793"/>
      <c r="R53" s="793"/>
      <c r="S53" s="793" t="s">
        <v>21</v>
      </c>
      <c r="T53" s="793"/>
      <c r="U53" s="793"/>
      <c r="V53" s="793"/>
      <c r="W53" s="793" t="s">
        <v>22</v>
      </c>
      <c r="X53" s="793"/>
      <c r="Y53" s="793"/>
      <c r="Z53" s="838"/>
    </row>
    <row r="54" spans="1:26">
      <c r="A54" s="837"/>
      <c r="B54" s="792"/>
      <c r="C54" s="733" t="s">
        <v>2</v>
      </c>
      <c r="D54" s="733" t="s">
        <v>3</v>
      </c>
      <c r="E54" s="733" t="s">
        <v>4</v>
      </c>
      <c r="F54" s="733" t="s">
        <v>5</v>
      </c>
      <c r="G54" s="733" t="s">
        <v>2</v>
      </c>
      <c r="H54" s="733" t="s">
        <v>3</v>
      </c>
      <c r="I54" s="733" t="s">
        <v>4</v>
      </c>
      <c r="J54" s="733" t="s">
        <v>5</v>
      </c>
      <c r="K54" s="12" t="s">
        <v>2</v>
      </c>
      <c r="L54" s="12" t="s">
        <v>3</v>
      </c>
      <c r="M54" s="12" t="s">
        <v>4</v>
      </c>
      <c r="N54" s="12" t="s">
        <v>5</v>
      </c>
      <c r="O54" s="13" t="s">
        <v>2</v>
      </c>
      <c r="P54" s="13" t="s">
        <v>3</v>
      </c>
      <c r="Q54" s="13" t="s">
        <v>4</v>
      </c>
      <c r="R54" s="13" t="s">
        <v>5</v>
      </c>
      <c r="S54" s="12" t="s">
        <v>2</v>
      </c>
      <c r="T54" s="12" t="s">
        <v>3</v>
      </c>
      <c r="U54" s="12" t="s">
        <v>4</v>
      </c>
      <c r="V54" s="12" t="s">
        <v>5</v>
      </c>
      <c r="W54" s="13" t="s">
        <v>2</v>
      </c>
      <c r="X54" s="13" t="s">
        <v>3</v>
      </c>
      <c r="Y54" s="13" t="s">
        <v>4</v>
      </c>
      <c r="Z54" s="707" t="s">
        <v>5</v>
      </c>
    </row>
    <row r="55" spans="1:26" ht="19.5" customHeight="1">
      <c r="A55" s="723" t="s">
        <v>6</v>
      </c>
      <c r="B55" s="699" t="s">
        <v>7</v>
      </c>
      <c r="C55" s="701">
        <v>1385.1217692733539</v>
      </c>
      <c r="D55" s="701">
        <v>1801.7817692733543</v>
      </c>
      <c r="E55" s="701">
        <v>2029.311769273354</v>
      </c>
      <c r="F55" s="701">
        <v>2202.6417692733539</v>
      </c>
      <c r="G55" s="701">
        <v>1631.1584290161509</v>
      </c>
      <c r="H55" s="701">
        <v>2047.818429016151</v>
      </c>
      <c r="I55" s="701">
        <v>2275.3484290161514</v>
      </c>
      <c r="J55" s="701">
        <v>2448.6784290161513</v>
      </c>
      <c r="K55" s="701">
        <v>1797.0066452591504</v>
      </c>
      <c r="L55" s="701">
        <v>2213.6666452591503</v>
      </c>
      <c r="M55" s="701">
        <v>2441.19664525915</v>
      </c>
      <c r="N55" s="701">
        <v>2614.5266452591504</v>
      </c>
      <c r="O55" s="701">
        <v>2256.1712408255885</v>
      </c>
      <c r="P55" s="701">
        <v>2672.8312408255883</v>
      </c>
      <c r="Q55" s="701">
        <v>2900.3612408255881</v>
      </c>
      <c r="R55" s="701">
        <v>3073.6912408255885</v>
      </c>
      <c r="S55" s="701">
        <v>3030.6976525187429</v>
      </c>
      <c r="T55" s="701">
        <v>3447.3576525187427</v>
      </c>
      <c r="U55" s="701">
        <v>3674.8876525187429</v>
      </c>
      <c r="V55" s="701">
        <v>3848.2176525187433</v>
      </c>
      <c r="W55" s="701">
        <v>2314.3480782974116</v>
      </c>
      <c r="X55" s="701">
        <v>2731.0080782974114</v>
      </c>
      <c r="Y55" s="701">
        <v>2958.5380782974112</v>
      </c>
      <c r="Z55" s="736">
        <v>3131.8680782974116</v>
      </c>
    </row>
    <row r="56" spans="1:26" ht="19.5" customHeight="1">
      <c r="A56" s="723" t="s">
        <v>8</v>
      </c>
      <c r="B56" s="699" t="s">
        <v>7</v>
      </c>
      <c r="C56" s="701">
        <v>1373.511769273354</v>
      </c>
      <c r="D56" s="701">
        <v>1790.1717692733541</v>
      </c>
      <c r="E56" s="701">
        <v>2017.7017692733539</v>
      </c>
      <c r="F56" s="701">
        <v>2191.0317692733543</v>
      </c>
      <c r="G56" s="701">
        <v>1616.528429016151</v>
      </c>
      <c r="H56" s="701">
        <v>2033.1884290161511</v>
      </c>
      <c r="I56" s="701">
        <v>2260.7184290161513</v>
      </c>
      <c r="J56" s="701">
        <v>2434.0484290161512</v>
      </c>
      <c r="K56" s="701">
        <v>1780.3366452591504</v>
      </c>
      <c r="L56" s="701">
        <v>2196.9966452591502</v>
      </c>
      <c r="M56" s="701">
        <v>2424.52664525915</v>
      </c>
      <c r="N56" s="701">
        <v>2597.8566452591504</v>
      </c>
      <c r="O56" s="701">
        <v>2233.8512408255883</v>
      </c>
      <c r="P56" s="701">
        <v>2650.5112408255882</v>
      </c>
      <c r="Q56" s="701">
        <v>2878.0412408255879</v>
      </c>
      <c r="R56" s="701">
        <v>3051.3712408255883</v>
      </c>
      <c r="S56" s="701">
        <v>2998.8776525187432</v>
      </c>
      <c r="T56" s="701">
        <v>3415.537652518743</v>
      </c>
      <c r="U56" s="701">
        <v>3643.0676525187428</v>
      </c>
      <c r="V56" s="701">
        <v>3816.3976525187436</v>
      </c>
      <c r="W56" s="701">
        <v>2291.3280782974116</v>
      </c>
      <c r="X56" s="701">
        <v>2707.9880782974114</v>
      </c>
      <c r="Y56" s="701">
        <v>2935.5180782974112</v>
      </c>
      <c r="Z56" s="736">
        <v>3108.8480782974116</v>
      </c>
    </row>
    <row r="57" spans="1:26" ht="19.5" customHeight="1">
      <c r="A57" s="723" t="s">
        <v>9</v>
      </c>
      <c r="B57" s="699" t="s">
        <v>7</v>
      </c>
      <c r="C57" s="701">
        <v>1305.1217692733539</v>
      </c>
      <c r="D57" s="701">
        <v>1721.7817692733543</v>
      </c>
      <c r="E57" s="701">
        <v>1949.311769273354</v>
      </c>
      <c r="F57" s="701">
        <v>2122.6417692733539</v>
      </c>
      <c r="G57" s="701">
        <v>1530.3284290161509</v>
      </c>
      <c r="H57" s="701">
        <v>1946.988429016151</v>
      </c>
      <c r="I57" s="701">
        <v>2174.518429016151</v>
      </c>
      <c r="J57" s="701">
        <v>2347.8484290161509</v>
      </c>
      <c r="K57" s="701">
        <v>1682.1266452591503</v>
      </c>
      <c r="L57" s="701">
        <v>2098.7866452591502</v>
      </c>
      <c r="M57" s="701">
        <v>2326.3166452591499</v>
      </c>
      <c r="N57" s="701">
        <v>2499.6466452591503</v>
      </c>
      <c r="O57" s="701">
        <v>2102.4112408255883</v>
      </c>
      <c r="P57" s="701">
        <v>2519.0712408255881</v>
      </c>
      <c r="Q57" s="701">
        <v>2746.6012408255879</v>
      </c>
      <c r="R57" s="701">
        <v>2919.9312408255882</v>
      </c>
      <c r="S57" s="701">
        <v>2811.4176525187431</v>
      </c>
      <c r="T57" s="701">
        <v>3228.077652518743</v>
      </c>
      <c r="U57" s="701">
        <v>3455.6076525187432</v>
      </c>
      <c r="V57" s="701">
        <v>3628.9376525187436</v>
      </c>
      <c r="W57" s="701">
        <v>2155.7580782974114</v>
      </c>
      <c r="X57" s="701">
        <v>2572.4180782974113</v>
      </c>
      <c r="Y57" s="701">
        <v>2799.948078297411</v>
      </c>
      <c r="Z57" s="736">
        <v>2973.2780782974114</v>
      </c>
    </row>
    <row r="58" spans="1:26" ht="20.25" customHeight="1" thickBot="1">
      <c r="A58" s="725" t="s">
        <v>10</v>
      </c>
      <c r="B58" s="726" t="s">
        <v>7</v>
      </c>
      <c r="C58" s="735">
        <v>1249.7317692733541</v>
      </c>
      <c r="D58" s="735">
        <v>1666.3917692733542</v>
      </c>
      <c r="E58" s="735">
        <v>1893.9217692733539</v>
      </c>
      <c r="F58" s="735">
        <v>2067.2517692733541</v>
      </c>
      <c r="G58" s="735">
        <v>1460.498429016151</v>
      </c>
      <c r="H58" s="735">
        <v>1877.1584290161509</v>
      </c>
      <c r="I58" s="735">
        <v>2104.6884290161511</v>
      </c>
      <c r="J58" s="735">
        <v>2278.018429016151</v>
      </c>
      <c r="K58" s="735">
        <v>1602.5766452591506</v>
      </c>
      <c r="L58" s="735">
        <v>2019.2366452591505</v>
      </c>
      <c r="M58" s="735">
        <v>2246.7666452591502</v>
      </c>
      <c r="N58" s="735">
        <v>2420.0966452591506</v>
      </c>
      <c r="O58" s="735">
        <v>1995.9312408255885</v>
      </c>
      <c r="P58" s="735">
        <v>2412.5912408255881</v>
      </c>
      <c r="Q58" s="735">
        <v>2640.1212408255878</v>
      </c>
      <c r="R58" s="735">
        <v>2813.4512408255882</v>
      </c>
      <c r="S58" s="735">
        <v>2659.5676525187428</v>
      </c>
      <c r="T58" s="735">
        <v>3076.2276525187426</v>
      </c>
      <c r="U58" s="735">
        <v>3303.7576525187433</v>
      </c>
      <c r="V58" s="735">
        <v>3477.0876525187432</v>
      </c>
      <c r="W58" s="735">
        <v>2045.9280782974117</v>
      </c>
      <c r="X58" s="735">
        <v>2462.5880782974114</v>
      </c>
      <c r="Y58" s="735">
        <v>2690.1180782974111</v>
      </c>
      <c r="Z58" s="739">
        <v>2863.4480782974115</v>
      </c>
    </row>
    <row r="59" spans="1:26"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</row>
  </sheetData>
  <mergeCells count="57">
    <mergeCell ref="W9:Z9"/>
    <mergeCell ref="A9:B10"/>
    <mergeCell ref="C9:F9"/>
    <mergeCell ref="G9:J9"/>
    <mergeCell ref="K9:N9"/>
    <mergeCell ref="O9:R9"/>
    <mergeCell ref="S9:V9"/>
    <mergeCell ref="A2:Z2"/>
    <mergeCell ref="A3:B4"/>
    <mergeCell ref="C3:F3"/>
    <mergeCell ref="G3:J3"/>
    <mergeCell ref="K3:N3"/>
    <mergeCell ref="O3:R3"/>
    <mergeCell ref="S3:V3"/>
    <mergeCell ref="W3:Z3"/>
    <mergeCell ref="S17:V17"/>
    <mergeCell ref="W17:Z17"/>
    <mergeCell ref="A23:B24"/>
    <mergeCell ref="C23:F23"/>
    <mergeCell ref="G23:J23"/>
    <mergeCell ref="K23:N23"/>
    <mergeCell ref="O23:R23"/>
    <mergeCell ref="S23:V23"/>
    <mergeCell ref="W23:Z23"/>
    <mergeCell ref="A17:B18"/>
    <mergeCell ref="C17:F17"/>
    <mergeCell ref="G17:J17"/>
    <mergeCell ref="K17:N17"/>
    <mergeCell ref="O17:R17"/>
    <mergeCell ref="S31:V31"/>
    <mergeCell ref="W31:Z31"/>
    <mergeCell ref="A37:B38"/>
    <mergeCell ref="C37:F37"/>
    <mergeCell ref="G37:J37"/>
    <mergeCell ref="K37:N37"/>
    <mergeCell ref="O37:R37"/>
    <mergeCell ref="S37:V37"/>
    <mergeCell ref="W37:Z37"/>
    <mergeCell ref="A31:B32"/>
    <mergeCell ref="C31:F31"/>
    <mergeCell ref="G31:J31"/>
    <mergeCell ref="K31:N31"/>
    <mergeCell ref="O31:R31"/>
    <mergeCell ref="S47:V47"/>
    <mergeCell ref="W47:Z47"/>
    <mergeCell ref="A53:B54"/>
    <mergeCell ref="C53:F53"/>
    <mergeCell ref="G53:J53"/>
    <mergeCell ref="K53:N53"/>
    <mergeCell ref="O53:R53"/>
    <mergeCell ref="S53:V53"/>
    <mergeCell ref="W53:Z53"/>
    <mergeCell ref="A47:B48"/>
    <mergeCell ref="C47:F47"/>
    <mergeCell ref="G47:J47"/>
    <mergeCell ref="K47:N47"/>
    <mergeCell ref="O47:R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факт 2014</vt:lpstr>
      <vt:lpstr>Лист2</vt:lpstr>
      <vt:lpstr>прогноз 2015</vt:lpstr>
      <vt:lpstr>факт2015</vt:lpstr>
      <vt:lpstr>разница 2015</vt:lpstr>
      <vt:lpstr>прогноз 2016 по факту</vt:lpstr>
      <vt:lpstr>прогноз 2016 МЭ</vt:lpstr>
      <vt:lpstr>индекс</vt:lpstr>
      <vt:lpstr>прогноз2017</vt:lpstr>
      <vt:lpstr>прогн 2016 пэо</vt:lpstr>
      <vt:lpstr>ком</vt:lpstr>
      <vt:lpstr>покупка опт 2016</vt:lpstr>
      <vt:lpstr>сн</vt:lpstr>
      <vt:lpstr>передача</vt:lpstr>
      <vt:lpstr>инфраструктура</vt:lpstr>
      <vt:lpstr>мощность</vt:lpstr>
      <vt:lpstr>баланс</vt:lpstr>
      <vt:lpstr>пок-прод м</vt:lpstr>
      <vt:lpstr>Лист1</vt:lpstr>
      <vt:lpstr>прогноз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2017-12-05T05:02:04Z</dcterms:modified>
</cp:coreProperties>
</file>